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40" activeTab="0"/>
  </bookViews>
  <sheets>
    <sheet name="Notes" sheetId="1" r:id="rId1"/>
    <sheet name="Program Budget" sheetId="2" r:id="rId2"/>
    <sheet name="Billable Service Model" sheetId="3" r:id="rId3"/>
    <sheet name="Revenue Forecast" sheetId="4" r:id="rId4"/>
    <sheet name="Required Services Model" sheetId="5" r:id="rId5"/>
    <sheet name="Staffing Model" sheetId="6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J66" authorId="0">
      <text>
        <r>
          <rPr>
            <b/>
            <sz val="9"/>
            <color indexed="8"/>
            <rFont val="Tahoma"/>
            <family val="2"/>
          </rPr>
          <t xml:space="preserve">Emily Chan:
</t>
        </r>
        <r>
          <rPr>
            <sz val="9"/>
            <color indexed="8"/>
            <rFont val="Tahoma"/>
            <family val="2"/>
          </rPr>
          <t>Should equal to Total Income/Revenue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 xml:space="preserve">The Unit here and for room &amp; board is one treatment day.
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>Session duration may vary.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>After a patient is discharged, how long does it take to replace them?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Q4" authorId="0">
      <text>
        <r>
          <rPr>
            <b/>
            <sz val="8"/>
            <color indexed="8"/>
            <rFont val="Tahoma"/>
            <family val="2"/>
          </rPr>
          <t xml:space="preserve">Victor Kogler:
</t>
        </r>
        <r>
          <rPr>
            <sz val="8"/>
            <color indexed="8"/>
            <rFont val="Tahoma"/>
            <family val="2"/>
          </rPr>
          <t>Weekly totals must equal 20.</t>
        </r>
      </text>
    </comment>
  </commentList>
</comments>
</file>

<file path=xl/sharedStrings.xml><?xml version="1.0" encoding="utf-8"?>
<sst xmlns="http://schemas.openxmlformats.org/spreadsheetml/2006/main" count="251" uniqueCount="195">
  <si>
    <r>
      <t>Notes</t>
    </r>
    <r>
      <rPr>
        <b/>
        <sz val="12"/>
        <rFont val="Calibri"/>
        <family val="2"/>
      </rPr>
      <t>:</t>
    </r>
  </si>
  <si>
    <t>In General</t>
  </si>
  <si>
    <t>Cells highlighted in yellow are constants or are calculated on the basis of the values entered elsewhere.</t>
  </si>
  <si>
    <t>Cells that are not highlighted contain values that can be modified by the user to conform to their specific program operations.</t>
  </si>
  <si>
    <t>1. Program Budget</t>
  </si>
  <si>
    <t>Please enter budget line items for salaries and benefits and category totals from the SAPC budget template.</t>
  </si>
  <si>
    <t>2. Billable Service Model</t>
  </si>
  <si>
    <t>Please enter here the range of treatment services provided, on average to a typical client.  The numbers entered here must be for a single client and not for the caseload as a whole.</t>
  </si>
  <si>
    <t>3. Revenue Forecast</t>
  </si>
  <si>
    <t>This sheet calculates, on the basis of program budget data, the single-client service model and program parameters entered on this sheet, the gross revenue that can be anticipated.</t>
  </si>
  <si>
    <t>4. Required Service Model</t>
  </si>
  <si>
    <t>5. Staffing Model</t>
  </si>
  <si>
    <t>In the Productivity model section, enter numbers in the following order.</t>
  </si>
  <si>
    <t>1. Paid Leave.  This includes holidays as well as average utilization of vacation and sick leave.</t>
  </si>
  <si>
    <t>2. Direct Service Hours - What is your organization's policy or expectation for the amount of time (daily or weekly basis) spent in delivering billable direct services to patients?</t>
  </si>
  <si>
    <t>3. Program Support Hours.  This is basically everything else - Charting, staff meetings, training, phone calls and e-mails, etc.</t>
  </si>
  <si>
    <t>The total must equal 2,080 hours.</t>
  </si>
  <si>
    <t>Schedule 1A - Direct Salary/Wages &amp;  Benefits (staff providing billable services)</t>
  </si>
  <si>
    <t>Position Title</t>
  </si>
  <si>
    <t>FTE</t>
  </si>
  <si>
    <t>Hourly Rate</t>
  </si>
  <si>
    <t>Amount</t>
  </si>
  <si>
    <t>Program Coordinator</t>
  </si>
  <si>
    <t>Alcohol &amp; Drug Counselor II</t>
  </si>
  <si>
    <t>Alcohol &amp; Drug Counselor I</t>
  </si>
  <si>
    <t>MFT (in therapist capacity)</t>
  </si>
  <si>
    <t>Salaries Subtotal</t>
  </si>
  <si>
    <t>Total</t>
  </si>
  <si>
    <t>Schedule 1B - Indirect Salary/Wages &amp; Benefits (non-billing staff)</t>
  </si>
  <si>
    <t>Executive Director</t>
  </si>
  <si>
    <t>Clinical Director (MFT in LPHA &amp; Clinical Supervisor Capacity)</t>
  </si>
  <si>
    <t>Finance Manager</t>
  </si>
  <si>
    <t>Office Manager</t>
  </si>
  <si>
    <t>QA Manager</t>
  </si>
  <si>
    <t>Compliance Manager</t>
  </si>
  <si>
    <t>IT Manager</t>
  </si>
  <si>
    <t>IT Support</t>
  </si>
  <si>
    <t>Outreach Worker</t>
  </si>
  <si>
    <t>Cook</t>
  </si>
  <si>
    <t>Driver</t>
  </si>
  <si>
    <t>Night Shift Staff</t>
  </si>
  <si>
    <t>Payroll Taxes &amp; Benefits</t>
  </si>
  <si>
    <t>Totals from SAPC Budget Template</t>
  </si>
  <si>
    <t>Schedule 2 - Facility Rent/Lease</t>
  </si>
  <si>
    <t xml:space="preserve">SCHEDULE 3 -EQUIPMENT AND/OR OTHER ASSET LEASES </t>
  </si>
  <si>
    <t>Schedule 4 - Services &amp; Supplies</t>
  </si>
  <si>
    <t>Direct Operating Costs Total</t>
  </si>
  <si>
    <t>Indirect Operating Costs Total</t>
  </si>
  <si>
    <t>Schedule 5 - Indirect Cost</t>
  </si>
  <si>
    <t>Room &amp; Board</t>
  </si>
  <si>
    <t>Total Budget</t>
  </si>
  <si>
    <t>PART I:  Budgeted Direct Costs</t>
  </si>
  <si>
    <t>Proposed Budget</t>
  </si>
  <si>
    <t>PART II:  Budgeted Indirect Costs</t>
  </si>
  <si>
    <t>1.  Salaries/Wages &amp; Employee Benefit</t>
  </si>
  <si>
    <t>5.  Salaries/Wages &amp; Employee Benefit</t>
  </si>
  <si>
    <t xml:space="preserve">2.  Facility Rent/Lease </t>
  </si>
  <si>
    <t xml:space="preserve">6.  Facility Rent/Lease </t>
  </si>
  <si>
    <t xml:space="preserve">3.  Equipment and/or Other Asset Leases </t>
  </si>
  <si>
    <t xml:space="preserve">7.  Equipment and/or Other Asset Leases </t>
  </si>
  <si>
    <t>4.  Services &amp; Supplies</t>
  </si>
  <si>
    <t>8.  Services &amp; Supplies</t>
  </si>
  <si>
    <t>Total Direct Expenses (Client Services):</t>
  </si>
  <si>
    <t>Total Indirect Expenses (Provider Activities):</t>
  </si>
  <si>
    <t>(a)</t>
  </si>
  <si>
    <t>(b)</t>
  </si>
  <si>
    <t>Total Budgeted Expenses (a+b):</t>
  </si>
  <si>
    <t>DMC Residential Treatment</t>
  </si>
  <si>
    <t>Type of Session and Session Duration in Service Units per Week</t>
  </si>
  <si>
    <t>Billable Services</t>
  </si>
  <si>
    <t>Totals</t>
  </si>
  <si>
    <t>Session Type</t>
  </si>
  <si>
    <t>Residential Day Rate</t>
  </si>
  <si>
    <t>Residential Room &amp; Board Rate</t>
  </si>
  <si>
    <t>Case Mgt</t>
  </si>
  <si>
    <r>
      <t xml:space="preserve">Total Units per Week </t>
    </r>
    <r>
      <rPr>
        <i/>
        <sz val="10"/>
        <rFont val="Calibri"/>
        <family val="2"/>
      </rPr>
      <t>(Residential + Case Mgt.)</t>
    </r>
  </si>
  <si>
    <r>
      <t xml:space="preserve">Total Hours per Week </t>
    </r>
    <r>
      <rPr>
        <i/>
        <sz val="10"/>
        <rFont val="Calibri"/>
        <family val="2"/>
      </rPr>
      <t>(Case Mgt. Only)</t>
    </r>
  </si>
  <si>
    <t>HCPCS</t>
  </si>
  <si>
    <t>H0019</t>
  </si>
  <si>
    <t>S9976</t>
  </si>
  <si>
    <t>H0006</t>
  </si>
  <si>
    <t>Units per Session</t>
  </si>
  <si>
    <t>Cost Per Unit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</si>
  <si>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</si>
  <si>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</si>
  <si>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</si>
  <si>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</si>
  <si>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</si>
  <si>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</si>
  <si>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</si>
  <si>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</si>
  <si>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</si>
  <si>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</si>
  <si>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</si>
  <si>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</si>
  <si>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</si>
  <si>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Total Units</t>
  </si>
  <si>
    <t>Total Cost</t>
  </si>
  <si>
    <t>Total Sessions</t>
  </si>
  <si>
    <t>Total Staff Hrs</t>
  </si>
  <si>
    <t>DMC Residential Treatment 12 Month Revenue Forecast</t>
  </si>
  <si>
    <t>Program Parameters:</t>
  </si>
  <si>
    <t>Episode Duration [Days]</t>
  </si>
  <si>
    <t>Direct Service Staff FTEs</t>
  </si>
  <si>
    <t>Caseload per FTE</t>
  </si>
  <si>
    <t>.</t>
  </si>
  <si>
    <t>Individual Session [Hours]</t>
  </si>
  <si>
    <t>Group Session [Hours]</t>
  </si>
  <si>
    <t xml:space="preserve">Avg. DMC Attendance per Group </t>
  </si>
  <si>
    <t>Licensed Capacity (beds)</t>
  </si>
  <si>
    <t>Dynamic Capacity [12 Month Total]</t>
  </si>
  <si>
    <t>Maximum Bed Days per Year</t>
  </si>
  <si>
    <t>Vacant bed days per discharge-admit cycle</t>
  </si>
  <si>
    <t>Weeks per Year</t>
  </si>
  <si>
    <t>DMC Residential Treatment - Utilization Model</t>
  </si>
  <si>
    <t>A</t>
  </si>
  <si>
    <t>B</t>
  </si>
  <si>
    <t>E</t>
  </si>
  <si>
    <t>F</t>
  </si>
  <si>
    <t>G</t>
  </si>
  <si>
    <t>Service Type</t>
  </si>
  <si>
    <t>Total Units per Client per Episode</t>
  </si>
  <si>
    <t>Annual Units - All Clients</t>
  </si>
  <si>
    <t>Total Reimbursement Per Client Tx Episode</t>
  </si>
  <si>
    <t>Total Annual Reimbursement - All Clients</t>
  </si>
  <si>
    <t>Residentail Treatment Day</t>
  </si>
  <si>
    <t>Case Management</t>
  </si>
  <si>
    <t>Adjustments</t>
  </si>
  <si>
    <r>
      <t>Vacancy Rate (days per year)</t>
    </r>
    <r>
      <rPr>
        <b/>
        <vertAlign val="superscript"/>
        <sz val="10"/>
        <rFont val="Calibri"/>
        <family val="2"/>
      </rPr>
      <t>1</t>
    </r>
  </si>
  <si>
    <t>--------------------------------------&gt;</t>
  </si>
  <si>
    <r>
      <t>Disallowance/Denial Rate</t>
    </r>
    <r>
      <rPr>
        <b/>
        <vertAlign val="superscript"/>
        <sz val="10"/>
        <rFont val="Calibri"/>
        <family val="2"/>
      </rPr>
      <t>2</t>
    </r>
  </si>
  <si>
    <t>Net Annual Reimbursement</t>
  </si>
  <si>
    <t>----------------------------------------------------------------&gt;</t>
  </si>
  <si>
    <t>Estimated Program Cost from Budget</t>
  </si>
  <si>
    <r>
      <t>Surplus</t>
    </r>
    <r>
      <rPr>
        <b/>
        <sz val="10"/>
        <rFont val="Calibri"/>
        <family val="2"/>
      </rPr>
      <t>/</t>
    </r>
    <r>
      <rPr>
        <b/>
        <sz val="10"/>
        <color indexed="10"/>
        <rFont val="Calibri"/>
        <family val="2"/>
      </rPr>
      <t>(Shortfall)</t>
    </r>
  </si>
  <si>
    <t>Notes:</t>
  </si>
  <si>
    <t>1.) Please enter the average number of vacant beds or unbilled bed days per month in the cell to the right.</t>
  </si>
  <si>
    <t>2.)  This represents the percentage of claims that, for whatever reason, cannot be corrected.  In this cell, do not count claims that are resubmitted and eventually paid.</t>
  </si>
  <si>
    <t>DMC Residential  Treatment</t>
  </si>
  <si>
    <t>Required Services (20 Hrs per Week)</t>
  </si>
  <si>
    <t>Screening</t>
  </si>
  <si>
    <t>Assessment / Intake</t>
  </si>
  <si>
    <t>Treatment Planning</t>
  </si>
  <si>
    <t>Physical Exam</t>
  </si>
  <si>
    <t>Group Counseling</t>
  </si>
  <si>
    <t>Patient Education</t>
  </si>
  <si>
    <t>Individual Counseling</t>
  </si>
  <si>
    <t>Crisis Intervention</t>
  </si>
  <si>
    <t>Family Therapy</t>
  </si>
  <si>
    <t>Collateral Services</t>
  </si>
  <si>
    <t>Safeguarding Meds</t>
  </si>
  <si>
    <t>Non-Emergency Transport</t>
  </si>
  <si>
    <t>Alcohol / Drug Testing</t>
  </si>
  <si>
    <t>Discharge Services</t>
  </si>
  <si>
    <t>Total Units per Week</t>
  </si>
  <si>
    <t>Total Hours per Week</t>
  </si>
  <si>
    <t>N0049</t>
  </si>
  <si>
    <t>H0001</t>
  </si>
  <si>
    <t>T1007</t>
  </si>
  <si>
    <t>H0005</t>
  </si>
  <si>
    <t>T1012</t>
  </si>
  <si>
    <t>H0004</t>
  </si>
  <si>
    <t>H2011</t>
  </si>
  <si>
    <t>T1006</t>
  </si>
  <si>
    <t>H2010</t>
  </si>
  <si>
    <t>T2001</t>
  </si>
  <si>
    <t>H0048</t>
  </si>
  <si>
    <t>D0001</t>
  </si>
  <si>
    <t>DMC Residential Treatment - Staff Time Allocation Model</t>
  </si>
  <si>
    <t>C</t>
  </si>
  <si>
    <t>D</t>
  </si>
  <si>
    <t>H</t>
  </si>
  <si>
    <t>I</t>
  </si>
  <si>
    <t>Total Sessions Per Client per Episode</t>
  </si>
  <si>
    <t>Total Staff Hours Per Client</t>
  </si>
  <si>
    <t>Annual Sessions - All Clients</t>
  </si>
  <si>
    <t>Annual Staff Hours - All Clients</t>
  </si>
  <si>
    <t>Sessions per Week</t>
  </si>
  <si>
    <t>Staff Hours Per Week</t>
  </si>
  <si>
    <t>Annualized Staff Productivity Model</t>
  </si>
  <si>
    <t>Hours Per FTE</t>
  </si>
  <si>
    <t>Pct</t>
  </si>
  <si>
    <t>Total Hrs for Budgeted FTEs</t>
  </si>
  <si>
    <t>Paid Leave</t>
  </si>
  <si>
    <t>Program Support Activity</t>
  </si>
  <si>
    <t>Direct Service</t>
  </si>
  <si>
    <t>Total Budgeted Hours</t>
  </si>
  <si>
    <t>Direct Service Hours per Week</t>
  </si>
  <si>
    <t>Weekly billable hours target</t>
  </si>
  <si>
    <r>
      <t>Over</t>
    </r>
    <r>
      <rPr>
        <sz val="11"/>
        <rFont val="Calibri"/>
        <family val="2"/>
      </rPr>
      <t>/</t>
    </r>
    <r>
      <rPr>
        <sz val="11"/>
        <color indexed="37"/>
        <rFont val="Calibri"/>
        <family val="2"/>
      </rPr>
      <t>Under</t>
    </r>
    <r>
      <rPr>
        <sz val="11"/>
        <rFont val="Calibri"/>
        <family val="2"/>
      </rPr>
      <t xml:space="preserve"> Based on Billing Staff FTEs</t>
    </r>
  </si>
  <si>
    <t>DMC Residential Services Budget</t>
  </si>
  <si>
    <t xml:space="preserve">Type of Session and Session Duration in Service Units per Week per Client </t>
  </si>
  <si>
    <r>
      <t xml:space="preserve">DHCS program certification standards require that residential treatment programs provide a minimum of 20 hours per week of individual and/or group counseling sessions and/or structured therapeutic activities shall be provided for each client in accordance with the client’s treatment plan or recovery plan. Customize this to fit your service portfolio by adding a new coloumn or changing the description and HCPC code to reflect your operation. </t>
    </r>
    <r>
      <rPr>
        <sz val="12"/>
        <color indexed="10"/>
        <rFont val="Calibri"/>
        <family val="2"/>
      </rPr>
      <t>example: add recovery support services</t>
    </r>
  </si>
  <si>
    <t>Created by: Victor Kogler</t>
  </si>
  <si>
    <t>Vice President, CIBHS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</si>
</sst>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_(\$* #,##0_);_(\$* \(#,##0\);_(\$* \-??_);_(@_)"/>
    <numFmt numFmtId="167" formatCode="_(\$* #,##0_);_(\$* \(#,##0\);_(\$* \-_);_(@_)"/>
    <numFmt numFmtId="168" formatCode="_(* #,##0_);_(* \(#,##0\);_(* \-??_);_(@_)"/>
    <numFmt numFmtId="169" formatCode="_(* #,##0.0_);_(* \(#,##0.0\);_(* \-??_);_(@_)"/>
    <numFmt numFmtId="170" formatCode="_(* #,##0.0_);_(* \(#,##0.0\);_(* \-?_);_(@_)"/>
  </numFmts>
  <fonts count="79">
    <font>
      <sz val="10"/>
      <name val="Arial"/>
      <family val="2"/>
    </font>
    <font>
      <u val="single"/>
      <sz val="7"/>
      <color indexed="12"/>
      <name val="Arial"/>
      <family val="2"/>
    </font>
    <font>
      <sz val="7"/>
      <name val="Arial"/>
      <family val="2"/>
    </font>
    <font>
      <sz val="10"/>
      <name val="Trebuchet MS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b/>
      <sz val="10"/>
      <name val="Calibri"/>
      <family val="2"/>
    </font>
    <font>
      <b/>
      <i/>
      <sz val="11"/>
      <color indexed="12"/>
      <name val="Calibri"/>
      <family val="2"/>
    </font>
    <font>
      <i/>
      <sz val="11"/>
      <color indexed="12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0"/>
      <name val="Trebuchet MS"/>
      <family val="2"/>
    </font>
    <font>
      <i/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2"/>
      <name val="Calibri"/>
      <family val="2"/>
    </font>
    <font>
      <b/>
      <sz val="10"/>
      <color indexed="25"/>
      <name val="Calibri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0"/>
      <name val="Calibri"/>
      <family val="2"/>
    </font>
    <font>
      <sz val="10"/>
      <color indexed="12"/>
      <name val="Calibri"/>
      <family val="2"/>
    </font>
    <font>
      <sz val="10"/>
      <color indexed="58"/>
      <name val="Calibri"/>
      <family val="2"/>
    </font>
    <font>
      <sz val="10"/>
      <color indexed="37"/>
      <name val="Calibri"/>
      <family val="2"/>
    </font>
    <font>
      <b/>
      <sz val="10"/>
      <color indexed="10"/>
      <name val="Calibri"/>
      <family val="2"/>
    </font>
    <font>
      <b/>
      <sz val="10"/>
      <color indexed="37"/>
      <name val="Calibri"/>
      <family val="2"/>
    </font>
    <font>
      <b/>
      <sz val="9"/>
      <name val="Calibri"/>
      <family val="2"/>
    </font>
    <font>
      <sz val="11"/>
      <color indexed="37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7"/>
      </left>
      <right style="thin">
        <color indexed="21"/>
      </right>
      <top style="double">
        <color indexed="57"/>
      </top>
      <bottom style="double">
        <color indexed="57"/>
      </bottom>
    </border>
    <border>
      <left style="thin">
        <color indexed="21"/>
      </left>
      <right style="thin">
        <color indexed="21"/>
      </right>
      <top style="double">
        <color indexed="57"/>
      </top>
      <bottom style="double">
        <color indexed="57"/>
      </bottom>
    </border>
    <border>
      <left style="thin">
        <color indexed="21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double">
        <color indexed="57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double">
        <color indexed="57"/>
      </right>
      <top>
        <color indexed="63"/>
      </top>
      <bottom style="thin">
        <color indexed="21"/>
      </bottom>
    </border>
    <border>
      <left style="double">
        <color indexed="57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57"/>
      </right>
      <top style="thin">
        <color indexed="21"/>
      </top>
      <bottom style="thin">
        <color indexed="21"/>
      </bottom>
    </border>
    <border>
      <left style="double">
        <color indexed="57"/>
      </left>
      <right style="thin">
        <color indexed="21"/>
      </right>
      <top style="thin">
        <color indexed="21"/>
      </top>
      <bottom style="double">
        <color indexed="57"/>
      </bottom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57"/>
      </bottom>
    </border>
    <border>
      <left style="thin">
        <color indexed="21"/>
      </left>
      <right style="double">
        <color indexed="57"/>
      </right>
      <top style="thin">
        <color indexed="21"/>
      </top>
      <bottom style="double">
        <color indexed="57"/>
      </bottom>
    </border>
    <border>
      <left style="double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 style="double">
        <color indexed="57"/>
      </right>
      <top style="double">
        <color indexed="57"/>
      </top>
      <bottom style="thin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uble">
        <color indexed="57"/>
      </right>
      <top style="thin">
        <color indexed="57"/>
      </top>
      <bottom style="thin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double">
        <color indexed="57"/>
      </right>
      <top style="thin">
        <color indexed="57"/>
      </top>
      <bottom style="double">
        <color indexed="57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57"/>
      </left>
      <right>
        <color indexed="63"/>
      </right>
      <top style="double">
        <color indexed="57"/>
      </top>
      <bottom>
        <color indexed="63"/>
      </bottom>
    </border>
    <border>
      <left>
        <color indexed="63"/>
      </left>
      <right style="double">
        <color indexed="57"/>
      </right>
      <top style="double">
        <color indexed="57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double">
        <color indexed="57"/>
      </top>
      <bottom style="thin">
        <color indexed="57"/>
      </bottom>
    </border>
    <border>
      <left style="double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double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double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double">
        <color indexed="57"/>
      </bottom>
    </border>
    <border>
      <left style="double">
        <color indexed="57"/>
      </left>
      <right>
        <color indexed="63"/>
      </right>
      <top style="double">
        <color indexed="57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7"/>
      </top>
      <bottom style="thin">
        <color indexed="8"/>
      </bottom>
    </border>
    <border>
      <left>
        <color indexed="63"/>
      </left>
      <right style="double">
        <color indexed="57"/>
      </right>
      <top style="double">
        <color indexed="57"/>
      </top>
      <bottom style="thin">
        <color indexed="8"/>
      </bottom>
    </border>
    <border>
      <left style="double">
        <color indexed="57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57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64" fontId="3" fillId="0" borderId="0">
      <alignment/>
      <protection/>
    </xf>
    <xf numFmtId="41" fontId="0" fillId="0" borderId="0" applyFill="0" applyBorder="0" applyAlignment="0" applyProtection="0"/>
    <xf numFmtId="165" fontId="3" fillId="0" borderId="0">
      <alignment/>
      <protection/>
    </xf>
    <xf numFmtId="42" fontId="0" fillId="0" borderId="0" applyFill="0" applyBorder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3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46" applyFont="1">
      <alignment/>
      <protection/>
    </xf>
    <xf numFmtId="0" fontId="5" fillId="0" borderId="0" xfId="46" applyFont="1" applyAlignment="1">
      <alignment/>
      <protection/>
    </xf>
    <xf numFmtId="0" fontId="4" fillId="0" borderId="0" xfId="46" applyFont="1" applyAlignment="1">
      <alignment/>
      <protection/>
    </xf>
    <xf numFmtId="0" fontId="4" fillId="0" borderId="0" xfId="46" applyFont="1" applyAlignment="1">
      <alignment horizontal="left" vertical="top"/>
      <protection/>
    </xf>
    <xf numFmtId="0" fontId="6" fillId="0" borderId="0" xfId="46" applyFont="1" applyAlignment="1">
      <alignment horizontal="left" vertical="top"/>
      <protection/>
    </xf>
    <xf numFmtId="0" fontId="7" fillId="0" borderId="0" xfId="46" applyFont="1" applyFill="1">
      <alignment/>
      <protection/>
    </xf>
    <xf numFmtId="0" fontId="8" fillId="0" borderId="0" xfId="46" applyFont="1" applyFill="1" applyAlignment="1">
      <alignment/>
      <protection/>
    </xf>
    <xf numFmtId="0" fontId="7" fillId="0" borderId="0" xfId="46" applyFont="1" applyFill="1" applyAlignment="1">
      <alignment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9" fillId="0" borderId="11" xfId="46" applyFont="1" applyFill="1" applyBorder="1" applyAlignment="1">
      <alignment horizontal="center" vertical="center"/>
      <protection/>
    </xf>
    <xf numFmtId="0" fontId="9" fillId="0" borderId="12" xfId="46" applyFont="1" applyFill="1" applyBorder="1" applyAlignment="1">
      <alignment horizontal="center" vertical="center"/>
      <protection/>
    </xf>
    <xf numFmtId="0" fontId="7" fillId="0" borderId="13" xfId="46" applyFont="1" applyFill="1" applyBorder="1" applyAlignment="1">
      <alignment/>
      <protection/>
    </xf>
    <xf numFmtId="2" fontId="7" fillId="33" borderId="14" xfId="42" applyNumberFormat="1" applyFont="1" applyFill="1" applyBorder="1" applyAlignment="1" applyProtection="1">
      <alignment horizontal="right"/>
      <protection/>
    </xf>
    <xf numFmtId="165" fontId="7" fillId="33" borderId="14" xfId="44" applyFont="1" applyFill="1" applyBorder="1" applyAlignment="1" applyProtection="1">
      <alignment horizontal="right"/>
      <protection/>
    </xf>
    <xf numFmtId="166" fontId="7" fillId="34" borderId="15" xfId="46" applyNumberFormat="1" applyFont="1" applyFill="1" applyBorder="1" applyAlignment="1">
      <alignment/>
      <protection/>
    </xf>
    <xf numFmtId="0" fontId="7" fillId="0" borderId="16" xfId="46" applyFont="1" applyFill="1" applyBorder="1" applyAlignment="1">
      <alignment/>
      <protection/>
    </xf>
    <xf numFmtId="165" fontId="7" fillId="33" borderId="17" xfId="44" applyFont="1" applyFill="1" applyBorder="1" applyAlignment="1" applyProtection="1">
      <alignment horizontal="right"/>
      <protection/>
    </xf>
    <xf numFmtId="166" fontId="7" fillId="34" borderId="18" xfId="46" applyNumberFormat="1" applyFont="1" applyFill="1" applyBorder="1" applyAlignment="1">
      <alignment/>
      <protection/>
    </xf>
    <xf numFmtId="0" fontId="10" fillId="0" borderId="16" xfId="46" applyFont="1" applyFill="1" applyBorder="1" applyAlignment="1">
      <alignment/>
      <protection/>
    </xf>
    <xf numFmtId="2" fontId="7" fillId="0" borderId="17" xfId="42" applyNumberFormat="1" applyFont="1" applyFill="1" applyBorder="1" applyAlignment="1" applyProtection="1">
      <alignment horizontal="right"/>
      <protection/>
    </xf>
    <xf numFmtId="165" fontId="7" fillId="0" borderId="17" xfId="44" applyFont="1" applyFill="1" applyBorder="1" applyAlignment="1" applyProtection="1">
      <alignment horizontal="right"/>
      <protection/>
    </xf>
    <xf numFmtId="164" fontId="7" fillId="0" borderId="17" xfId="42" applyNumberFormat="1" applyFont="1" applyFill="1" applyBorder="1" applyAlignment="1" applyProtection="1">
      <alignment horizontal="right"/>
      <protection/>
    </xf>
    <xf numFmtId="166" fontId="7" fillId="34" borderId="18" xfId="44" applyNumberFormat="1" applyFont="1" applyFill="1" applyBorder="1" applyAlignment="1" applyProtection="1">
      <alignment horizontal="right"/>
      <protection/>
    </xf>
    <xf numFmtId="0" fontId="7" fillId="0" borderId="17" xfId="46" applyFont="1" applyFill="1" applyBorder="1" applyAlignment="1">
      <alignment horizontal="right"/>
      <protection/>
    </xf>
    <xf numFmtId="0" fontId="9" fillId="0" borderId="19" xfId="46" applyFont="1" applyFill="1" applyBorder="1" applyAlignment="1">
      <alignment/>
      <protection/>
    </xf>
    <xf numFmtId="164" fontId="7" fillId="34" borderId="20" xfId="42" applyNumberFormat="1" applyFont="1" applyFill="1" applyBorder="1" applyAlignment="1" applyProtection="1">
      <alignment horizontal="right"/>
      <protection/>
    </xf>
    <xf numFmtId="0" fontId="7" fillId="0" borderId="20" xfId="46" applyFont="1" applyFill="1" applyBorder="1" applyAlignment="1">
      <alignment horizontal="right"/>
      <protection/>
    </xf>
    <xf numFmtId="166" fontId="7" fillId="34" borderId="21" xfId="44" applyNumberFormat="1" applyFont="1" applyFill="1" applyBorder="1" applyAlignment="1" applyProtection="1">
      <alignment horizontal="right"/>
      <protection/>
    </xf>
    <xf numFmtId="2" fontId="7" fillId="0" borderId="14" xfId="42" applyNumberFormat="1" applyFont="1" applyFill="1" applyBorder="1" applyAlignment="1" applyProtection="1">
      <alignment horizontal="right"/>
      <protection/>
    </xf>
    <xf numFmtId="0" fontId="11" fillId="0" borderId="16" xfId="46" applyFont="1" applyFill="1" applyBorder="1" applyAlignment="1">
      <alignment/>
      <protection/>
    </xf>
    <xf numFmtId="9" fontId="10" fillId="0" borderId="0" xfId="60" applyFont="1" applyFill="1" applyBorder="1" applyAlignment="1" applyProtection="1">
      <alignment/>
      <protection/>
    </xf>
    <xf numFmtId="0" fontId="9" fillId="0" borderId="0" xfId="46" applyFont="1" applyFill="1" applyAlignment="1">
      <alignment/>
      <protection/>
    </xf>
    <xf numFmtId="166" fontId="7" fillId="0" borderId="0" xfId="44" applyNumberFormat="1" applyFont="1" applyFill="1" applyBorder="1" applyAlignment="1" applyProtection="1">
      <alignment/>
      <protection/>
    </xf>
    <xf numFmtId="0" fontId="9" fillId="0" borderId="22" xfId="46" applyFont="1" applyFill="1" applyBorder="1">
      <alignment/>
      <protection/>
    </xf>
    <xf numFmtId="166" fontId="7" fillId="33" borderId="23" xfId="44" applyNumberFormat="1" applyFont="1" applyFill="1" applyBorder="1" applyAlignment="1" applyProtection="1">
      <alignment/>
      <protection/>
    </xf>
    <xf numFmtId="0" fontId="12" fillId="0" borderId="24" xfId="46" applyFont="1" applyFill="1" applyBorder="1" applyAlignment="1">
      <alignment horizontal="left" indent="1"/>
      <protection/>
    </xf>
    <xf numFmtId="166" fontId="7" fillId="33" borderId="25" xfId="44" applyNumberFormat="1" applyFont="1" applyFill="1" applyBorder="1" applyAlignment="1" applyProtection="1">
      <alignment/>
      <protection/>
    </xf>
    <xf numFmtId="0" fontId="12" fillId="0" borderId="24" xfId="46" applyFont="1" applyFill="1" applyBorder="1" applyAlignment="1">
      <alignment horizontal="left"/>
      <protection/>
    </xf>
    <xf numFmtId="0" fontId="7" fillId="0" borderId="24" xfId="46" applyFont="1" applyFill="1" applyBorder="1">
      <alignment/>
      <protection/>
    </xf>
    <xf numFmtId="0" fontId="9" fillId="0" borderId="24" xfId="46" applyFont="1" applyFill="1" applyBorder="1">
      <alignment/>
      <protection/>
    </xf>
    <xf numFmtId="166" fontId="3" fillId="33" borderId="25" xfId="44" applyNumberFormat="1" applyFont="1" applyFill="1" applyBorder="1" applyAlignment="1" applyProtection="1">
      <alignment/>
      <protection/>
    </xf>
    <xf numFmtId="0" fontId="13" fillId="0" borderId="24" xfId="46" applyFont="1" applyFill="1" applyBorder="1">
      <alignment/>
      <protection/>
    </xf>
    <xf numFmtId="166" fontId="14" fillId="33" borderId="25" xfId="44" applyNumberFormat="1" applyFont="1" applyFill="1" applyBorder="1" applyAlignment="1" applyProtection="1">
      <alignment/>
      <protection/>
    </xf>
    <xf numFmtId="166" fontId="7" fillId="0" borderId="25" xfId="44" applyNumberFormat="1" applyFont="1" applyFill="1" applyBorder="1" applyAlignment="1" applyProtection="1">
      <alignment/>
      <protection/>
    </xf>
    <xf numFmtId="0" fontId="9" fillId="0" borderId="26" xfId="46" applyFont="1" applyFill="1" applyBorder="1">
      <alignment/>
      <protection/>
    </xf>
    <xf numFmtId="166" fontId="7" fillId="34" borderId="27" xfId="44" applyNumberFormat="1" applyFont="1" applyFill="1" applyBorder="1" applyAlignment="1" applyProtection="1">
      <alignment/>
      <protection/>
    </xf>
    <xf numFmtId="0" fontId="15" fillId="0" borderId="28" xfId="46" applyFont="1" applyBorder="1" applyProtection="1">
      <alignment/>
      <protection/>
    </xf>
    <xf numFmtId="0" fontId="16" fillId="0" borderId="29" xfId="46" applyFont="1" applyBorder="1" applyProtection="1">
      <alignment/>
      <protection/>
    </xf>
    <xf numFmtId="0" fontId="18" fillId="0" borderId="29" xfId="46" applyFont="1" applyBorder="1" applyAlignment="1" applyProtection="1">
      <alignment horizontal="center" wrapText="1"/>
      <protection/>
    </xf>
    <xf numFmtId="0" fontId="15" fillId="0" borderId="29" xfId="46" applyFont="1" applyBorder="1" applyProtection="1">
      <alignment/>
      <protection/>
    </xf>
    <xf numFmtId="0" fontId="15" fillId="0" borderId="29" xfId="46" applyFont="1" applyFill="1" applyBorder="1" applyAlignment="1" applyProtection="1">
      <alignment horizontal="left" wrapText="1"/>
      <protection/>
    </xf>
    <xf numFmtId="0" fontId="16" fillId="0" borderId="29" xfId="46" applyFont="1" applyFill="1" applyBorder="1" applyAlignment="1" applyProtection="1">
      <alignment/>
      <protection/>
    </xf>
    <xf numFmtId="0" fontId="17" fillId="0" borderId="29" xfId="46" applyFont="1" applyFill="1" applyBorder="1" applyAlignment="1" applyProtection="1">
      <alignment horizontal="center"/>
      <protection/>
    </xf>
    <xf numFmtId="0" fontId="16" fillId="0" borderId="30" xfId="46" applyFont="1" applyBorder="1" applyProtection="1">
      <alignment/>
      <protection/>
    </xf>
    <xf numFmtId="0" fontId="16" fillId="0" borderId="0" xfId="46" applyFont="1" applyBorder="1" applyProtection="1">
      <alignment/>
      <protection/>
    </xf>
    <xf numFmtId="0" fontId="19" fillId="0" borderId="0" xfId="46" applyFont="1" applyBorder="1" applyProtection="1">
      <alignment/>
      <protection/>
    </xf>
    <xf numFmtId="165" fontId="16" fillId="0" borderId="0" xfId="44" applyFont="1" applyFill="1" applyBorder="1" applyAlignment="1" applyProtection="1">
      <alignment horizontal="center" wrapText="1"/>
      <protection locked="0"/>
    </xf>
    <xf numFmtId="165" fontId="17" fillId="0" borderId="0" xfId="44" applyFont="1" applyFill="1" applyBorder="1" applyAlignment="1" applyProtection="1">
      <alignment horizontal="left" wrapText="1"/>
      <protection/>
    </xf>
    <xf numFmtId="165" fontId="17" fillId="0" borderId="0" xfId="44" applyFont="1" applyFill="1" applyBorder="1" applyAlignment="1" applyProtection="1">
      <alignment wrapText="1"/>
      <protection/>
    </xf>
    <xf numFmtId="0" fontId="16" fillId="0" borderId="30" xfId="46" applyFont="1" applyFill="1" applyBorder="1" applyProtection="1">
      <alignment/>
      <protection/>
    </xf>
    <xf numFmtId="0" fontId="16" fillId="0" borderId="0" xfId="46" applyFont="1" applyFill="1" applyBorder="1" applyProtection="1">
      <alignment/>
      <protection/>
    </xf>
    <xf numFmtId="165" fontId="16" fillId="0" borderId="0" xfId="44" applyFont="1" applyFill="1" applyBorder="1" applyAlignment="1" applyProtection="1">
      <alignment horizontal="left" wrapText="1"/>
      <protection/>
    </xf>
    <xf numFmtId="0" fontId="17" fillId="0" borderId="30" xfId="46" applyFont="1" applyBorder="1" applyProtection="1">
      <alignment/>
      <protection/>
    </xf>
    <xf numFmtId="165" fontId="17" fillId="0" borderId="0" xfId="44" applyFont="1" applyFill="1" applyBorder="1" applyAlignment="1" applyProtection="1">
      <alignment horizontal="center" wrapText="1"/>
      <protection/>
    </xf>
    <xf numFmtId="0" fontId="17" fillId="0" borderId="0" xfId="46" applyFont="1" applyBorder="1" applyProtection="1">
      <alignment/>
      <protection/>
    </xf>
    <xf numFmtId="167" fontId="17" fillId="0" borderId="0" xfId="44" applyNumberFormat="1" applyFont="1" applyFill="1" applyBorder="1" applyAlignment="1" applyProtection="1">
      <alignment horizontal="center" wrapText="1"/>
      <protection/>
    </xf>
    <xf numFmtId="167" fontId="17" fillId="0" borderId="0" xfId="44" applyNumberFormat="1" applyFont="1" applyFill="1" applyBorder="1" applyAlignment="1" applyProtection="1">
      <alignment horizontal="right" wrapText="1"/>
      <protection/>
    </xf>
    <xf numFmtId="167" fontId="17" fillId="0" borderId="0" xfId="44" applyNumberFormat="1" applyFont="1" applyFill="1" applyBorder="1" applyAlignment="1" applyProtection="1">
      <alignment horizontal="center"/>
      <protection/>
    </xf>
    <xf numFmtId="167" fontId="17" fillId="0" borderId="31" xfId="44" applyNumberFormat="1" applyFont="1" applyFill="1" applyBorder="1" applyAlignment="1" applyProtection="1">
      <alignment horizontal="right"/>
      <protection/>
    </xf>
    <xf numFmtId="0" fontId="17" fillId="0" borderId="0" xfId="46" applyFont="1" applyBorder="1" applyAlignment="1" applyProtection="1">
      <alignment horizontal="right"/>
      <protection/>
    </xf>
    <xf numFmtId="0" fontId="16" fillId="0" borderId="31" xfId="46" applyFont="1" applyBorder="1" applyProtection="1">
      <alignment/>
      <protection/>
    </xf>
    <xf numFmtId="167" fontId="17" fillId="0" borderId="32" xfId="44" applyNumberFormat="1" applyFont="1" applyFill="1" applyBorder="1" applyAlignment="1" applyProtection="1">
      <alignment horizontal="center"/>
      <protection/>
    </xf>
    <xf numFmtId="0" fontId="16" fillId="0" borderId="33" xfId="46" applyFont="1" applyBorder="1" applyProtection="1">
      <alignment/>
      <protection/>
    </xf>
    <xf numFmtId="0" fontId="16" fillId="0" borderId="34" xfId="46" applyFont="1" applyBorder="1" applyProtection="1">
      <alignment/>
      <protection/>
    </xf>
    <xf numFmtId="0" fontId="22" fillId="0" borderId="0" xfId="46" applyFont="1" applyFill="1">
      <alignment/>
      <protection/>
    </xf>
    <xf numFmtId="0" fontId="3" fillId="0" borderId="0" xfId="46">
      <alignment/>
      <protection/>
    </xf>
    <xf numFmtId="0" fontId="12" fillId="0" borderId="35" xfId="46" applyFont="1" applyFill="1" applyBorder="1" applyAlignment="1">
      <alignment vertical="center"/>
      <protection/>
    </xf>
    <xf numFmtId="0" fontId="3" fillId="0" borderId="36" xfId="46" applyBorder="1">
      <alignment/>
      <protection/>
    </xf>
    <xf numFmtId="0" fontId="25" fillId="0" borderId="37" xfId="46" applyFont="1" applyFill="1" applyBorder="1" applyAlignment="1">
      <alignment horizontal="center" vertical="center" wrapText="1"/>
      <protection/>
    </xf>
    <xf numFmtId="0" fontId="12" fillId="0" borderId="38" xfId="46" applyFont="1" applyFill="1" applyBorder="1" applyAlignment="1">
      <alignment horizontal="center" vertical="center" wrapText="1"/>
      <protection/>
    </xf>
    <xf numFmtId="0" fontId="12" fillId="0" borderId="39" xfId="46" applyFont="1" applyFill="1" applyBorder="1" applyAlignment="1">
      <alignment horizontal="center" vertical="center" wrapText="1"/>
      <protection/>
    </xf>
    <xf numFmtId="0" fontId="25" fillId="0" borderId="40" xfId="46" applyFont="1" applyFill="1" applyBorder="1" applyAlignment="1">
      <alignment horizontal="center" vertical="center" wrapText="1"/>
      <protection/>
    </xf>
    <xf numFmtId="0" fontId="22" fillId="0" borderId="41" xfId="46" applyFont="1" applyFill="1" applyBorder="1" applyAlignment="1">
      <alignment horizontal="center" vertical="center" wrapText="1"/>
      <protection/>
    </xf>
    <xf numFmtId="0" fontId="22" fillId="0" borderId="42" xfId="46" applyFont="1" applyFill="1" applyBorder="1" applyAlignment="1">
      <alignment horizontal="center" vertical="center" wrapText="1"/>
      <protection/>
    </xf>
    <xf numFmtId="0" fontId="25" fillId="0" borderId="43" xfId="46" applyFont="1" applyFill="1" applyBorder="1" applyAlignment="1">
      <alignment horizontal="center" vertical="center" wrapText="1"/>
      <protection/>
    </xf>
    <xf numFmtId="165" fontId="22" fillId="34" borderId="44" xfId="44" applyFont="1" applyFill="1" applyBorder="1" applyAlignment="1" applyProtection="1">
      <alignment horizontal="center" vertical="center"/>
      <protection/>
    </xf>
    <xf numFmtId="165" fontId="22" fillId="34" borderId="45" xfId="44" applyFont="1" applyFill="1" applyBorder="1" applyAlignment="1" applyProtection="1">
      <alignment horizontal="center" vertical="center"/>
      <protection/>
    </xf>
    <xf numFmtId="0" fontId="22" fillId="0" borderId="46" xfId="46" applyFont="1" applyFill="1" applyBorder="1" applyAlignment="1">
      <alignment horizontal="left" indent="1"/>
      <protection/>
    </xf>
    <xf numFmtId="0" fontId="22" fillId="33" borderId="47" xfId="46" applyFont="1" applyFill="1" applyBorder="1">
      <alignment/>
      <protection/>
    </xf>
    <xf numFmtId="0" fontId="22" fillId="33" borderId="48" xfId="46" applyFont="1" applyFill="1" applyBorder="1">
      <alignment/>
      <protection/>
    </xf>
    <xf numFmtId="0" fontId="22" fillId="34" borderId="48" xfId="46" applyFont="1" applyFill="1" applyBorder="1">
      <alignment/>
      <protection/>
    </xf>
    <xf numFmtId="2" fontId="22" fillId="34" borderId="48" xfId="46" applyNumberFormat="1" applyFont="1" applyFill="1" applyBorder="1">
      <alignment/>
      <protection/>
    </xf>
    <xf numFmtId="0" fontId="22" fillId="33" borderId="49" xfId="46" applyFont="1" applyFill="1" applyBorder="1">
      <alignment/>
      <protection/>
    </xf>
    <xf numFmtId="0" fontId="22" fillId="33" borderId="50" xfId="46" applyFont="1" applyFill="1" applyBorder="1">
      <alignment/>
      <protection/>
    </xf>
    <xf numFmtId="0" fontId="22" fillId="34" borderId="50" xfId="46" applyFont="1" applyFill="1" applyBorder="1">
      <alignment/>
      <protection/>
    </xf>
    <xf numFmtId="2" fontId="22" fillId="34" borderId="50" xfId="46" applyNumberFormat="1" applyFont="1" applyFill="1" applyBorder="1">
      <alignment/>
      <protection/>
    </xf>
    <xf numFmtId="0" fontId="22" fillId="33" borderId="38" xfId="46" applyFont="1" applyFill="1" applyBorder="1">
      <alignment/>
      <protection/>
    </xf>
    <xf numFmtId="0" fontId="22" fillId="34" borderId="51" xfId="46" applyFont="1" applyFill="1" applyBorder="1">
      <alignment/>
      <protection/>
    </xf>
    <xf numFmtId="2" fontId="22" fillId="34" borderId="51" xfId="46" applyNumberFormat="1" applyFont="1" applyFill="1" applyBorder="1">
      <alignment/>
      <protection/>
    </xf>
    <xf numFmtId="0" fontId="22" fillId="33" borderId="41" xfId="46" applyFont="1" applyFill="1" applyBorder="1">
      <alignment/>
      <protection/>
    </xf>
    <xf numFmtId="0" fontId="22" fillId="33" borderId="42" xfId="46" applyFont="1" applyFill="1" applyBorder="1">
      <alignment/>
      <protection/>
    </xf>
    <xf numFmtId="0" fontId="22" fillId="34" borderId="42" xfId="46" applyFont="1" applyFill="1" applyBorder="1">
      <alignment/>
      <protection/>
    </xf>
    <xf numFmtId="2" fontId="22" fillId="34" borderId="42" xfId="46" applyNumberFormat="1" applyFont="1" applyFill="1" applyBorder="1">
      <alignment/>
      <protection/>
    </xf>
    <xf numFmtId="0" fontId="22" fillId="0" borderId="52" xfId="46" applyFont="1" applyFill="1" applyBorder="1" applyAlignment="1">
      <alignment horizontal="left" indent="1"/>
      <protection/>
    </xf>
    <xf numFmtId="0" fontId="22" fillId="33" borderId="44" xfId="46" applyFont="1" applyFill="1" applyBorder="1">
      <alignment/>
      <protection/>
    </xf>
    <xf numFmtId="0" fontId="22" fillId="33" borderId="45" xfId="46" applyFont="1" applyFill="1" applyBorder="1">
      <alignment/>
      <protection/>
    </xf>
    <xf numFmtId="0" fontId="22" fillId="34" borderId="45" xfId="46" applyFont="1" applyFill="1" applyBorder="1">
      <alignment/>
      <protection/>
    </xf>
    <xf numFmtId="2" fontId="22" fillId="34" borderId="45" xfId="46" applyNumberFormat="1" applyFont="1" applyFill="1" applyBorder="1">
      <alignment/>
      <protection/>
    </xf>
    <xf numFmtId="0" fontId="22" fillId="0" borderId="0" xfId="46" applyFont="1" applyFill="1" applyBorder="1">
      <alignment/>
      <protection/>
    </xf>
    <xf numFmtId="168" fontId="22" fillId="34" borderId="0" xfId="42" applyNumberFormat="1" applyFont="1" applyFill="1" applyBorder="1" applyAlignment="1" applyProtection="1">
      <alignment/>
      <protection/>
    </xf>
    <xf numFmtId="0" fontId="22" fillId="34" borderId="0" xfId="46" applyFont="1" applyFill="1" applyBorder="1">
      <alignment/>
      <protection/>
    </xf>
    <xf numFmtId="169" fontId="22" fillId="0" borderId="0" xfId="42" applyNumberFormat="1" applyFont="1" applyFill="1" applyBorder="1" applyAlignment="1" applyProtection="1">
      <alignment/>
      <protection/>
    </xf>
    <xf numFmtId="166" fontId="22" fillId="34" borderId="0" xfId="44" applyNumberFormat="1" applyFont="1" applyFill="1" applyBorder="1" applyAlignment="1" applyProtection="1">
      <alignment/>
      <protection/>
    </xf>
    <xf numFmtId="166" fontId="22" fillId="0" borderId="0" xfId="44" applyNumberFormat="1" applyFont="1" applyFill="1" applyBorder="1" applyAlignment="1" applyProtection="1">
      <alignment/>
      <protection/>
    </xf>
    <xf numFmtId="0" fontId="3" fillId="35" borderId="0" xfId="46" applyFill="1">
      <alignment/>
      <protection/>
    </xf>
    <xf numFmtId="168" fontId="22" fillId="34" borderId="0" xfId="46" applyNumberFormat="1" applyFont="1" applyFill="1" applyBorder="1">
      <alignment/>
      <protection/>
    </xf>
    <xf numFmtId="168" fontId="22" fillId="0" borderId="0" xfId="42" applyNumberFormat="1" applyFont="1" applyFill="1" applyBorder="1" applyAlignment="1" applyProtection="1">
      <alignment/>
      <protection/>
    </xf>
    <xf numFmtId="168" fontId="22" fillId="34" borderId="0" xfId="46" applyNumberFormat="1" applyFont="1" applyFill="1">
      <alignment/>
      <protection/>
    </xf>
    <xf numFmtId="166" fontId="22" fillId="0" borderId="0" xfId="46" applyNumberFormat="1" applyFont="1" applyFill="1">
      <alignment/>
      <protection/>
    </xf>
    <xf numFmtId="0" fontId="22" fillId="0" borderId="0" xfId="46" applyFont="1">
      <alignment/>
      <protection/>
    </xf>
    <xf numFmtId="0" fontId="29" fillId="0" borderId="0" xfId="46" applyFont="1" applyAlignment="1">
      <alignment/>
      <protection/>
    </xf>
    <xf numFmtId="0" fontId="29" fillId="0" borderId="0" xfId="46" applyFont="1" applyAlignment="1">
      <alignment horizontal="center"/>
      <protection/>
    </xf>
    <xf numFmtId="0" fontId="22" fillId="0" borderId="0" xfId="46" applyFont="1" applyAlignment="1">
      <alignment horizontal="right"/>
      <protection/>
    </xf>
    <xf numFmtId="166" fontId="22" fillId="0" borderId="0" xfId="46" applyNumberFormat="1" applyFont="1" applyFill="1" applyAlignment="1">
      <alignment/>
      <protection/>
    </xf>
    <xf numFmtId="164" fontId="22" fillId="0" borderId="0" xfId="46" applyNumberFormat="1" applyFont="1" applyAlignment="1">
      <alignment horizontal="right"/>
      <protection/>
    </xf>
    <xf numFmtId="0" fontId="30" fillId="0" borderId="53" xfId="46" applyFont="1" applyFill="1" applyBorder="1">
      <alignment/>
      <protection/>
    </xf>
    <xf numFmtId="0" fontId="31" fillId="0" borderId="54" xfId="46" applyFont="1" applyBorder="1">
      <alignment/>
      <protection/>
    </xf>
    <xf numFmtId="0" fontId="12" fillId="0" borderId="55" xfId="46" applyFont="1" applyFill="1" applyBorder="1">
      <alignment/>
      <protection/>
    </xf>
    <xf numFmtId="168" fontId="32" fillId="33" borderId="56" xfId="42" applyNumberFormat="1" applyFont="1" applyFill="1" applyBorder="1" applyAlignment="1" applyProtection="1">
      <alignment horizontal="right"/>
      <protection/>
    </xf>
    <xf numFmtId="0" fontId="22" fillId="0" borderId="55" xfId="46" applyFont="1" applyFill="1" applyBorder="1">
      <alignment/>
      <protection/>
    </xf>
    <xf numFmtId="169" fontId="33" fillId="34" borderId="56" xfId="42" applyNumberFormat="1" applyFont="1" applyFill="1" applyBorder="1" applyAlignment="1" applyProtection="1">
      <alignment horizontal="right"/>
      <protection/>
    </xf>
    <xf numFmtId="49" fontId="22" fillId="0" borderId="0" xfId="46" applyNumberFormat="1" applyFont="1" applyAlignment="1">
      <alignment horizontal="right"/>
      <protection/>
    </xf>
    <xf numFmtId="168" fontId="33" fillId="34" borderId="56" xfId="42" applyNumberFormat="1" applyFont="1" applyFill="1" applyBorder="1" applyAlignment="1" applyProtection="1">
      <alignment horizontal="right"/>
      <protection/>
    </xf>
    <xf numFmtId="168" fontId="32" fillId="33" borderId="56" xfId="42" applyNumberFormat="1" applyFont="1" applyFill="1" applyBorder="1" applyAlignment="1" applyProtection="1">
      <alignment/>
      <protection/>
    </xf>
    <xf numFmtId="169" fontId="32" fillId="33" borderId="56" xfId="42" applyNumberFormat="1" applyFont="1" applyFill="1" applyBorder="1" applyAlignment="1" applyProtection="1">
      <alignment/>
      <protection/>
    </xf>
    <xf numFmtId="170" fontId="22" fillId="0" borderId="0" xfId="46" applyNumberFormat="1" applyFont="1" applyAlignment="1">
      <alignment horizontal="right"/>
      <protection/>
    </xf>
    <xf numFmtId="0" fontId="12" fillId="0" borderId="55" xfId="46" applyFont="1" applyBorder="1">
      <alignment/>
      <protection/>
    </xf>
    <xf numFmtId="168" fontId="34" fillId="0" borderId="56" xfId="42" applyNumberFormat="1" applyFont="1" applyFill="1" applyBorder="1" applyAlignment="1" applyProtection="1">
      <alignment horizontal="right"/>
      <protection/>
    </xf>
    <xf numFmtId="0" fontId="22" fillId="0" borderId="55" xfId="46" applyFont="1" applyBorder="1">
      <alignment/>
      <protection/>
    </xf>
    <xf numFmtId="169" fontId="34" fillId="0" borderId="56" xfId="42" applyNumberFormat="1" applyFont="1" applyFill="1" applyBorder="1" applyAlignment="1" applyProtection="1">
      <alignment horizontal="right"/>
      <protection/>
    </xf>
    <xf numFmtId="164" fontId="3" fillId="0" borderId="0" xfId="46" applyNumberFormat="1">
      <alignment/>
      <protection/>
    </xf>
    <xf numFmtId="170" fontId="3" fillId="0" borderId="0" xfId="46" applyNumberFormat="1">
      <alignment/>
      <protection/>
    </xf>
    <xf numFmtId="0" fontId="12" fillId="0" borderId="57" xfId="46" applyFont="1" applyBorder="1">
      <alignment/>
      <protection/>
    </xf>
    <xf numFmtId="168" fontId="32" fillId="33" borderId="58" xfId="42" applyNumberFormat="1" applyFont="1" applyFill="1" applyBorder="1" applyAlignment="1" applyProtection="1">
      <alignment horizontal="right"/>
      <protection/>
    </xf>
    <xf numFmtId="0" fontId="12" fillId="0" borderId="0" xfId="46" applyFont="1">
      <alignment/>
      <protection/>
    </xf>
    <xf numFmtId="0" fontId="28" fillId="0" borderId="22" xfId="46" applyFont="1" applyBorder="1" applyAlignment="1">
      <alignment horizontal="center"/>
      <protection/>
    </xf>
    <xf numFmtId="0" fontId="28" fillId="0" borderId="59" xfId="46" applyFont="1" applyBorder="1" applyAlignment="1">
      <alignment horizontal="center"/>
      <protection/>
    </xf>
    <xf numFmtId="0" fontId="28" fillId="0" borderId="60" xfId="46" applyFont="1" applyBorder="1" applyAlignment="1">
      <alignment horizontal="center"/>
      <protection/>
    </xf>
    <xf numFmtId="0" fontId="28" fillId="0" borderId="23" xfId="46" applyFont="1" applyBorder="1" applyAlignment="1">
      <alignment horizontal="center"/>
      <protection/>
    </xf>
    <xf numFmtId="0" fontId="22" fillId="0" borderId="61" xfId="46" applyFont="1" applyBorder="1" applyAlignment="1">
      <alignment horizontal="center" vertical="center"/>
      <protection/>
    </xf>
    <xf numFmtId="0" fontId="22" fillId="0" borderId="62" xfId="46" applyFont="1" applyBorder="1" applyAlignment="1">
      <alignment horizontal="center" vertical="center" wrapText="1"/>
      <protection/>
    </xf>
    <xf numFmtId="0" fontId="22" fillId="0" borderId="63" xfId="46" applyFont="1" applyFill="1" applyBorder="1" applyAlignment="1">
      <alignment horizontal="center" vertical="center" wrapText="1"/>
      <protection/>
    </xf>
    <xf numFmtId="0" fontId="22" fillId="0" borderId="25" xfId="46" applyFont="1" applyBorder="1" applyAlignment="1">
      <alignment horizontal="center" vertical="center" wrapText="1"/>
      <protection/>
    </xf>
    <xf numFmtId="0" fontId="22" fillId="0" borderId="0" xfId="46" applyFont="1" applyAlignment="1">
      <alignment horizontal="center"/>
      <protection/>
    </xf>
    <xf numFmtId="0" fontId="22" fillId="0" borderId="24" xfId="46" applyFont="1" applyFill="1" applyBorder="1" applyAlignment="1">
      <alignment horizontal="left"/>
      <protection/>
    </xf>
    <xf numFmtId="0" fontId="35" fillId="34" borderId="62" xfId="46" applyFont="1" applyFill="1" applyBorder="1" applyAlignment="1">
      <alignment horizontal="right"/>
      <protection/>
    </xf>
    <xf numFmtId="168" fontId="35" fillId="34" borderId="62" xfId="46" applyNumberFormat="1" applyFont="1" applyFill="1" applyBorder="1" applyAlignment="1">
      <alignment horizontal="right"/>
      <protection/>
    </xf>
    <xf numFmtId="166" fontId="22" fillId="34" borderId="62" xfId="44" applyNumberFormat="1" applyFont="1" applyFill="1" applyBorder="1" applyAlignment="1" applyProtection="1">
      <alignment/>
      <protection/>
    </xf>
    <xf numFmtId="166" fontId="22" fillId="34" borderId="64" xfId="44" applyNumberFormat="1" applyFont="1" applyFill="1" applyBorder="1" applyAlignment="1" applyProtection="1">
      <alignment/>
      <protection/>
    </xf>
    <xf numFmtId="0" fontId="22" fillId="0" borderId="0" xfId="46" applyFont="1" applyAlignment="1">
      <alignment horizontal="left"/>
      <protection/>
    </xf>
    <xf numFmtId="168" fontId="22" fillId="0" borderId="0" xfId="46" applyNumberFormat="1" applyFont="1" applyAlignment="1">
      <alignment horizontal="left"/>
      <protection/>
    </xf>
    <xf numFmtId="166" fontId="33" fillId="34" borderId="62" xfId="44" applyNumberFormat="1" applyFont="1" applyFill="1" applyBorder="1" applyAlignment="1" applyProtection="1">
      <alignment horizontal="right"/>
      <protection/>
    </xf>
    <xf numFmtId="166" fontId="22" fillId="34" borderId="25" xfId="44" applyNumberFormat="1" applyFont="1" applyFill="1" applyBorder="1" applyAlignment="1" applyProtection="1">
      <alignment/>
      <protection/>
    </xf>
    <xf numFmtId="0" fontId="22" fillId="0" borderId="24" xfId="46" applyFont="1" applyBorder="1" applyAlignment="1">
      <alignment horizontal="left"/>
      <protection/>
    </xf>
    <xf numFmtId="0" fontId="22" fillId="0" borderId="62" xfId="46" applyFont="1" applyBorder="1" applyAlignment="1">
      <alignment horizontal="left"/>
      <protection/>
    </xf>
    <xf numFmtId="0" fontId="22" fillId="0" borderId="25" xfId="46" applyFont="1" applyBorder="1" applyAlignment="1">
      <alignment horizontal="left"/>
      <protection/>
    </xf>
    <xf numFmtId="0" fontId="22" fillId="0" borderId="26" xfId="46" applyFont="1" applyBorder="1">
      <alignment/>
      <protection/>
    </xf>
    <xf numFmtId="168" fontId="22" fillId="35" borderId="65" xfId="42" applyNumberFormat="1" applyFont="1" applyFill="1" applyBorder="1" applyAlignment="1" applyProtection="1">
      <alignment/>
      <protection/>
    </xf>
    <xf numFmtId="166" fontId="22" fillId="35" borderId="65" xfId="44" applyNumberFormat="1" applyFont="1" applyFill="1" applyBorder="1" applyAlignment="1" applyProtection="1">
      <alignment/>
      <protection/>
    </xf>
    <xf numFmtId="166" fontId="22" fillId="35" borderId="27" xfId="44" applyNumberFormat="1" applyFont="1" applyFill="1" applyBorder="1" applyAlignment="1" applyProtection="1">
      <alignment/>
      <protection/>
    </xf>
    <xf numFmtId="0" fontId="12" fillId="0" borderId="0" xfId="46" applyFont="1" applyBorder="1">
      <alignment/>
      <protection/>
    </xf>
    <xf numFmtId="0" fontId="12" fillId="0" borderId="0" xfId="46" applyFont="1" applyFill="1" applyBorder="1" applyAlignment="1">
      <alignment horizontal="right"/>
      <protection/>
    </xf>
    <xf numFmtId="0" fontId="12" fillId="0" borderId="0" xfId="46" applyFont="1" applyBorder="1" applyAlignment="1">
      <alignment horizontal="right"/>
      <protection/>
    </xf>
    <xf numFmtId="166" fontId="12" fillId="0" borderId="0" xfId="44" applyNumberFormat="1" applyFont="1" applyFill="1" applyBorder="1" applyAlignment="1" applyProtection="1">
      <alignment/>
      <protection/>
    </xf>
    <xf numFmtId="0" fontId="22" fillId="0" borderId="0" xfId="46" applyFont="1" applyBorder="1" applyAlignment="1">
      <alignment horizontal="center"/>
      <protection/>
    </xf>
    <xf numFmtId="0" fontId="12" fillId="0" borderId="0" xfId="46" applyFont="1" applyFill="1" applyBorder="1">
      <alignment/>
      <protection/>
    </xf>
    <xf numFmtId="168" fontId="12" fillId="34" borderId="0" xfId="42" applyNumberFormat="1" applyFont="1" applyFill="1" applyBorder="1" applyAlignment="1" applyProtection="1">
      <alignment horizontal="right"/>
      <protection/>
    </xf>
    <xf numFmtId="0" fontId="37" fillId="0" borderId="0" xfId="46" applyFont="1" applyAlignment="1">
      <alignment horizontal="left"/>
      <protection/>
    </xf>
    <xf numFmtId="166" fontId="38" fillId="34" borderId="0" xfId="44" applyNumberFormat="1" applyFont="1" applyFill="1" applyBorder="1" applyAlignment="1" applyProtection="1">
      <alignment/>
      <protection/>
    </xf>
    <xf numFmtId="168" fontId="22" fillId="0" borderId="0" xfId="46" applyNumberFormat="1" applyFont="1" applyAlignment="1">
      <alignment horizontal="right"/>
      <protection/>
    </xf>
    <xf numFmtId="9" fontId="23" fillId="33" borderId="0" xfId="60" applyFont="1" applyFill="1" applyBorder="1" applyAlignment="1" applyProtection="1">
      <alignment horizontal="right"/>
      <protection/>
    </xf>
    <xf numFmtId="166" fontId="39" fillId="34" borderId="0" xfId="46" applyNumberFormat="1" applyFont="1" applyFill="1" applyBorder="1">
      <alignment/>
      <protection/>
    </xf>
    <xf numFmtId="166" fontId="12" fillId="33" borderId="0" xfId="44" applyNumberFormat="1" applyFont="1" applyFill="1" applyBorder="1" applyAlignment="1" applyProtection="1">
      <alignment/>
      <protection/>
    </xf>
    <xf numFmtId="166" fontId="12" fillId="34" borderId="66" xfId="44" applyNumberFormat="1" applyFont="1" applyFill="1" applyBorder="1" applyAlignment="1" applyProtection="1">
      <alignment/>
      <protection/>
    </xf>
    <xf numFmtId="0" fontId="22" fillId="33" borderId="0" xfId="46" applyFont="1" applyFill="1" applyAlignment="1">
      <alignment/>
      <protection/>
    </xf>
    <xf numFmtId="0" fontId="28" fillId="0" borderId="0" xfId="46" applyFont="1" applyFill="1" applyBorder="1">
      <alignment/>
      <protection/>
    </xf>
    <xf numFmtId="166" fontId="41" fillId="34" borderId="0" xfId="44" applyNumberFormat="1" applyFont="1" applyFill="1" applyBorder="1" applyAlignment="1" applyProtection="1">
      <alignment/>
      <protection/>
    </xf>
    <xf numFmtId="0" fontId="33" fillId="0" borderId="41" xfId="46" applyFont="1" applyFill="1" applyBorder="1" applyAlignment="1">
      <alignment horizontal="center" vertical="center" wrapText="1"/>
      <protection/>
    </xf>
    <xf numFmtId="165" fontId="22" fillId="0" borderId="44" xfId="44" applyFont="1" applyFill="1" applyBorder="1" applyAlignment="1" applyProtection="1">
      <alignment horizontal="center" vertical="center"/>
      <protection/>
    </xf>
    <xf numFmtId="165" fontId="22" fillId="0" borderId="45" xfId="44" applyFont="1" applyFill="1" applyBorder="1" applyAlignment="1" applyProtection="1">
      <alignment horizontal="center" vertical="center"/>
      <protection/>
    </xf>
    <xf numFmtId="0" fontId="22" fillId="34" borderId="47" xfId="46" applyFont="1" applyFill="1" applyBorder="1">
      <alignment/>
      <protection/>
    </xf>
    <xf numFmtId="0" fontId="33" fillId="34" borderId="47" xfId="46" applyFont="1" applyFill="1" applyBorder="1">
      <alignment/>
      <protection/>
    </xf>
    <xf numFmtId="0" fontId="22" fillId="34" borderId="67" xfId="46" applyFont="1" applyFill="1" applyBorder="1">
      <alignment/>
      <protection/>
    </xf>
    <xf numFmtId="0" fontId="22" fillId="34" borderId="49" xfId="46" applyFont="1" applyFill="1" applyBorder="1">
      <alignment/>
      <protection/>
    </xf>
    <xf numFmtId="0" fontId="33" fillId="34" borderId="49" xfId="46" applyFont="1" applyFill="1" applyBorder="1">
      <alignment/>
      <protection/>
    </xf>
    <xf numFmtId="0" fontId="22" fillId="34" borderId="68" xfId="46" applyFont="1" applyFill="1" applyBorder="1">
      <alignment/>
      <protection/>
    </xf>
    <xf numFmtId="0" fontId="22" fillId="34" borderId="38" xfId="46" applyFont="1" applyFill="1" applyBorder="1">
      <alignment/>
      <protection/>
    </xf>
    <xf numFmtId="0" fontId="33" fillId="34" borderId="38" xfId="46" applyFont="1" applyFill="1" applyBorder="1">
      <alignment/>
      <protection/>
    </xf>
    <xf numFmtId="0" fontId="22" fillId="34" borderId="69" xfId="46" applyFont="1" applyFill="1" applyBorder="1">
      <alignment/>
      <protection/>
    </xf>
    <xf numFmtId="0" fontId="22" fillId="34" borderId="44" xfId="46" applyFont="1" applyFill="1" applyBorder="1">
      <alignment/>
      <protection/>
    </xf>
    <xf numFmtId="0" fontId="33" fillId="34" borderId="44" xfId="46" applyFont="1" applyFill="1" applyBorder="1">
      <alignment/>
      <protection/>
    </xf>
    <xf numFmtId="0" fontId="22" fillId="34" borderId="70" xfId="46" applyFont="1" applyFill="1" applyBorder="1">
      <alignment/>
      <protection/>
    </xf>
    <xf numFmtId="0" fontId="42" fillId="0" borderId="0" xfId="46" applyFont="1" applyFill="1">
      <alignment/>
      <protection/>
    </xf>
    <xf numFmtId="164" fontId="22" fillId="0" borderId="0" xfId="42" applyFont="1" applyFill="1" applyBorder="1" applyAlignment="1" applyProtection="1">
      <alignment/>
      <protection/>
    </xf>
    <xf numFmtId="0" fontId="3" fillId="0" borderId="71" xfId="46" applyBorder="1">
      <alignment/>
      <protection/>
    </xf>
    <xf numFmtId="0" fontId="28" fillId="0" borderId="72" xfId="46" applyFont="1" applyBorder="1" applyAlignment="1">
      <alignment horizontal="center"/>
      <protection/>
    </xf>
    <xf numFmtId="0" fontId="28" fillId="0" borderId="73" xfId="46" applyFont="1" applyBorder="1" applyAlignment="1">
      <alignment horizontal="center"/>
      <protection/>
    </xf>
    <xf numFmtId="0" fontId="3" fillId="0" borderId="55" xfId="46" applyBorder="1">
      <alignment/>
      <protection/>
    </xf>
    <xf numFmtId="0" fontId="3" fillId="0" borderId="0" xfId="46" applyBorder="1">
      <alignment/>
      <protection/>
    </xf>
    <xf numFmtId="0" fontId="22" fillId="0" borderId="62" xfId="46" applyFont="1" applyFill="1" applyBorder="1" applyAlignment="1">
      <alignment horizontal="center" vertical="center" wrapText="1"/>
      <protection/>
    </xf>
    <xf numFmtId="0" fontId="22" fillId="0" borderId="74" xfId="46" applyFont="1" applyBorder="1" applyAlignment="1">
      <alignment horizontal="center" vertical="center" wrapText="1"/>
      <protection/>
    </xf>
    <xf numFmtId="0" fontId="22" fillId="0" borderId="75" xfId="46" applyFont="1" applyFill="1" applyBorder="1" applyAlignment="1">
      <alignment horizontal="center" vertical="center" wrapText="1"/>
      <protection/>
    </xf>
    <xf numFmtId="168" fontId="35" fillId="34" borderId="63" xfId="46" applyNumberFormat="1" applyFont="1" applyFill="1" applyBorder="1" applyAlignment="1">
      <alignment horizontal="right"/>
      <protection/>
    </xf>
    <xf numFmtId="168" fontId="35" fillId="34" borderId="25" xfId="46" applyNumberFormat="1" applyFont="1" applyFill="1" applyBorder="1" applyAlignment="1">
      <alignment horizontal="right"/>
      <protection/>
    </xf>
    <xf numFmtId="1" fontId="35" fillId="34" borderId="62" xfId="46" applyNumberFormat="1" applyFont="1" applyFill="1" applyBorder="1" applyAlignment="1">
      <alignment horizontal="right"/>
      <protection/>
    </xf>
    <xf numFmtId="0" fontId="25" fillId="0" borderId="24" xfId="46" applyFont="1" applyFill="1" applyBorder="1" applyAlignment="1">
      <alignment horizontal="left"/>
      <protection/>
    </xf>
    <xf numFmtId="0" fontId="22" fillId="0" borderId="24" xfId="46" applyFont="1" applyBorder="1">
      <alignment/>
      <protection/>
    </xf>
    <xf numFmtId="0" fontId="32" fillId="33" borderId="62" xfId="46" applyFont="1" applyFill="1" applyBorder="1" applyAlignment="1">
      <alignment horizontal="right"/>
      <protection/>
    </xf>
    <xf numFmtId="0" fontId="33" fillId="33" borderId="62" xfId="46" applyFont="1" applyFill="1" applyBorder="1" applyAlignment="1">
      <alignment horizontal="right"/>
      <protection/>
    </xf>
    <xf numFmtId="0" fontId="33" fillId="33" borderId="63" xfId="46" applyFont="1" applyFill="1" applyBorder="1" applyAlignment="1">
      <alignment horizontal="right"/>
      <protection/>
    </xf>
    <xf numFmtId="0" fontId="33" fillId="33" borderId="25" xfId="46" applyFont="1" applyFill="1" applyBorder="1" applyAlignment="1">
      <alignment horizontal="right"/>
      <protection/>
    </xf>
    <xf numFmtId="0" fontId="12" fillId="0" borderId="26" xfId="46" applyFont="1" applyBorder="1">
      <alignment/>
      <protection/>
    </xf>
    <xf numFmtId="168" fontId="34" fillId="34" borderId="65" xfId="42" applyNumberFormat="1" applyFont="1" applyFill="1" applyBorder="1" applyAlignment="1" applyProtection="1">
      <alignment horizontal="right"/>
      <protection/>
    </xf>
    <xf numFmtId="168" fontId="34" fillId="34" borderId="76" xfId="42" applyNumberFormat="1" applyFont="1" applyFill="1" applyBorder="1" applyAlignment="1" applyProtection="1">
      <alignment horizontal="right"/>
      <protection/>
    </xf>
    <xf numFmtId="168" fontId="34" fillId="34" borderId="27" xfId="42" applyNumberFormat="1" applyFont="1" applyFill="1" applyBorder="1" applyAlignment="1" applyProtection="1">
      <alignment horizontal="right"/>
      <protection/>
    </xf>
    <xf numFmtId="170" fontId="22" fillId="0" borderId="0" xfId="46" applyNumberFormat="1" applyFont="1" applyFill="1" applyBorder="1" applyAlignment="1">
      <alignment horizontal="right"/>
      <protection/>
    </xf>
    <xf numFmtId="0" fontId="12" fillId="0" borderId="77" xfId="46" applyFont="1" applyBorder="1" applyAlignment="1">
      <alignment horizontal="center" vertical="center" wrapText="1"/>
      <protection/>
    </xf>
    <xf numFmtId="0" fontId="12" fillId="0" borderId="78" xfId="46" applyFont="1" applyBorder="1" applyAlignment="1">
      <alignment horizontal="center" vertical="center" wrapText="1"/>
      <protection/>
    </xf>
    <xf numFmtId="0" fontId="12" fillId="0" borderId="79" xfId="46" applyFont="1" applyBorder="1" applyAlignment="1">
      <alignment horizontal="center" vertical="center" wrapText="1"/>
      <protection/>
    </xf>
    <xf numFmtId="168" fontId="23" fillId="33" borderId="0" xfId="42" applyNumberFormat="1" applyFont="1" applyFill="1" applyBorder="1" applyAlignment="1" applyProtection="1">
      <alignment horizontal="right"/>
      <protection/>
    </xf>
    <xf numFmtId="9" fontId="22" fillId="34" borderId="0" xfId="60" applyFont="1" applyFill="1" applyBorder="1" applyAlignment="1" applyProtection="1">
      <alignment horizontal="right"/>
      <protection/>
    </xf>
    <xf numFmtId="168" fontId="22" fillId="34" borderId="56" xfId="42" applyNumberFormat="1" applyFont="1" applyFill="1" applyBorder="1" applyAlignment="1" applyProtection="1">
      <alignment horizontal="right"/>
      <protection/>
    </xf>
    <xf numFmtId="0" fontId="22" fillId="0" borderId="80" xfId="46" applyFont="1" applyBorder="1">
      <alignment/>
      <protection/>
    </xf>
    <xf numFmtId="168" fontId="23" fillId="33" borderId="81" xfId="42" applyNumberFormat="1" applyFont="1" applyFill="1" applyBorder="1" applyAlignment="1" applyProtection="1">
      <alignment horizontal="right"/>
      <protection/>
    </xf>
    <xf numFmtId="9" fontId="22" fillId="34" borderId="71" xfId="60" applyFont="1" applyFill="1" applyBorder="1" applyAlignment="1" applyProtection="1">
      <alignment horizontal="right"/>
      <protection/>
    </xf>
    <xf numFmtId="168" fontId="22" fillId="34" borderId="82" xfId="42" applyNumberFormat="1" applyFont="1" applyFill="1" applyBorder="1" applyAlignment="1" applyProtection="1">
      <alignment horizontal="right"/>
      <protection/>
    </xf>
    <xf numFmtId="168" fontId="22" fillId="34" borderId="0" xfId="42" applyNumberFormat="1" applyFont="1" applyFill="1" applyBorder="1" applyAlignment="1" applyProtection="1">
      <alignment horizontal="right"/>
      <protection/>
    </xf>
    <xf numFmtId="0" fontId="22" fillId="0" borderId="57" xfId="46" applyFont="1" applyBorder="1">
      <alignment/>
      <protection/>
    </xf>
    <xf numFmtId="168" fontId="22" fillId="34" borderId="71" xfId="42" applyNumberFormat="1" applyFont="1" applyFill="1" applyBorder="1" applyAlignment="1" applyProtection="1">
      <alignment horizontal="right"/>
      <protection/>
    </xf>
    <xf numFmtId="168" fontId="22" fillId="0" borderId="71" xfId="42" applyNumberFormat="1" applyFont="1" applyFill="1" applyBorder="1" applyAlignment="1" applyProtection="1">
      <alignment horizontal="right"/>
      <protection/>
    </xf>
    <xf numFmtId="168" fontId="22" fillId="34" borderId="58" xfId="42" applyNumberFormat="1" applyFont="1" applyFill="1" applyBorder="1" applyAlignment="1" applyProtection="1">
      <alignment horizontal="right"/>
      <protection/>
    </xf>
    <xf numFmtId="0" fontId="7" fillId="0" borderId="0" xfId="46" applyFont="1">
      <alignment/>
      <protection/>
    </xf>
    <xf numFmtId="168" fontId="12" fillId="34" borderId="0" xfId="42" applyNumberFormat="1" applyFont="1" applyFill="1" applyBorder="1" applyAlignment="1" applyProtection="1">
      <alignment/>
      <protection/>
    </xf>
    <xf numFmtId="0" fontId="10" fillId="0" borderId="0" xfId="46" applyFont="1">
      <alignment/>
      <protection/>
    </xf>
    <xf numFmtId="168" fontId="22" fillId="0" borderId="0" xfId="46" applyNumberFormat="1" applyFont="1">
      <alignment/>
      <protection/>
    </xf>
    <xf numFmtId="0" fontId="6" fillId="0" borderId="0" xfId="46" applyFont="1" applyBorder="1" applyAlignment="1">
      <alignment horizontal="left"/>
      <protection/>
    </xf>
    <xf numFmtId="0" fontId="4" fillId="0" borderId="0" xfId="46" applyFont="1" applyBorder="1" applyAlignment="1">
      <alignment horizontal="left" vertical="top" wrapText="1"/>
      <protection/>
    </xf>
    <xf numFmtId="0" fontId="6" fillId="0" borderId="0" xfId="46" applyFont="1" applyBorder="1" applyAlignment="1">
      <alignment horizontal="left" vertical="top" wrapText="1"/>
      <protection/>
    </xf>
    <xf numFmtId="0" fontId="6" fillId="0" borderId="0" xfId="46" applyFont="1" applyBorder="1" applyAlignment="1">
      <alignment horizontal="left" vertical="top"/>
      <protection/>
    </xf>
    <xf numFmtId="0" fontId="17" fillId="0" borderId="83" xfId="46" applyFont="1" applyBorder="1" applyAlignment="1" applyProtection="1">
      <alignment horizontal="right" wrapText="1"/>
      <protection/>
    </xf>
    <xf numFmtId="0" fontId="17" fillId="0" borderId="84" xfId="46" applyFont="1" applyFill="1" applyBorder="1" applyAlignment="1" applyProtection="1">
      <alignment horizontal="right"/>
      <protection/>
    </xf>
    <xf numFmtId="167" fontId="16" fillId="36" borderId="85" xfId="44" applyNumberFormat="1" applyFont="1" applyFill="1" applyBorder="1" applyAlignment="1" applyProtection="1">
      <alignment horizontal="center" wrapText="1"/>
      <protection locked="0"/>
    </xf>
    <xf numFmtId="167" fontId="17" fillId="36" borderId="86" xfId="44" applyNumberFormat="1" applyFont="1" applyFill="1" applyBorder="1" applyAlignment="1" applyProtection="1">
      <alignment horizontal="center"/>
      <protection locked="0"/>
    </xf>
    <xf numFmtId="167" fontId="16" fillId="36" borderId="86" xfId="44" applyNumberFormat="1" applyFont="1" applyFill="1" applyBorder="1" applyAlignment="1" applyProtection="1">
      <alignment horizontal="center"/>
      <protection locked="0"/>
    </xf>
    <xf numFmtId="0" fontId="17" fillId="0" borderId="0" xfId="46" applyFont="1" applyBorder="1" applyAlignment="1" applyProtection="1">
      <alignment horizontal="right"/>
      <protection/>
    </xf>
    <xf numFmtId="167" fontId="17" fillId="37" borderId="87" xfId="44" applyNumberFormat="1" applyFont="1" applyFill="1" applyBorder="1" applyAlignment="1" applyProtection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167" fontId="17" fillId="37" borderId="88" xfId="44" applyNumberFormat="1" applyFont="1" applyFill="1" applyBorder="1" applyAlignment="1" applyProtection="1">
      <alignment horizontal="center" wrapText="1"/>
      <protection/>
    </xf>
    <xf numFmtId="167" fontId="17" fillId="37" borderId="89" xfId="44" applyNumberFormat="1" applyFont="1" applyFill="1" applyBorder="1" applyAlignment="1" applyProtection="1">
      <alignment horizontal="center"/>
      <protection/>
    </xf>
    <xf numFmtId="0" fontId="12" fillId="0" borderId="71" xfId="46" applyFont="1" applyFill="1" applyBorder="1" applyAlignment="1">
      <alignment horizontal="center"/>
      <protection/>
    </xf>
    <xf numFmtId="0" fontId="12" fillId="0" borderId="0" xfId="46" applyFont="1" applyFill="1" applyBorder="1" applyAlignment="1">
      <alignment horizontal="center" vertical="center"/>
      <protection/>
    </xf>
    <xf numFmtId="0" fontId="12" fillId="0" borderId="90" xfId="46" applyFont="1" applyFill="1" applyBorder="1" applyAlignment="1">
      <alignment horizontal="center" vertical="center"/>
      <protection/>
    </xf>
    <xf numFmtId="0" fontId="23" fillId="0" borderId="91" xfId="46" applyFont="1" applyFill="1" applyBorder="1" applyAlignment="1">
      <alignment horizontal="center" vertical="center"/>
      <protection/>
    </xf>
    <xf numFmtId="0" fontId="24" fillId="0" borderId="92" xfId="46" applyFont="1" applyBorder="1" applyAlignment="1">
      <alignment horizontal="center"/>
      <protection/>
    </xf>
    <xf numFmtId="0" fontId="12" fillId="0" borderId="93" xfId="46" applyFont="1" applyFill="1" applyBorder="1" applyAlignment="1">
      <alignment horizontal="center" vertical="center" wrapText="1"/>
      <protection/>
    </xf>
    <xf numFmtId="0" fontId="28" fillId="0" borderId="0" xfId="46" applyFont="1" applyBorder="1" applyAlignment="1">
      <alignment horizontal="center" vertical="center"/>
      <protection/>
    </xf>
    <xf numFmtId="0" fontId="12" fillId="0" borderId="0" xfId="46" applyFont="1" applyBorder="1" applyAlignment="1">
      <alignment horizontal="center"/>
      <protection/>
    </xf>
    <xf numFmtId="0" fontId="22" fillId="0" borderId="0" xfId="46" applyFont="1" applyBorder="1" applyAlignment="1">
      <alignment horizontal="left" vertical="top" wrapText="1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28" fillId="0" borderId="90" xfId="46" applyFont="1" applyFill="1" applyBorder="1" applyAlignment="1">
      <alignment horizontal="center" vertical="center"/>
      <protection/>
    </xf>
    <xf numFmtId="0" fontId="23" fillId="0" borderId="92" xfId="46" applyFont="1" applyFill="1" applyBorder="1" applyAlignment="1">
      <alignment horizontal="center" vertical="center"/>
      <protection/>
    </xf>
    <xf numFmtId="0" fontId="12" fillId="0" borderId="94" xfId="46" applyFont="1" applyFill="1" applyBorder="1" applyAlignment="1">
      <alignment horizontal="center" vertical="center" wrapText="1"/>
      <protection/>
    </xf>
    <xf numFmtId="0" fontId="28" fillId="0" borderId="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color indexed="12"/>
      </font>
    </dxf>
    <dxf>
      <font>
        <b val="0"/>
        <color indexed="37"/>
      </font>
    </dxf>
    <dxf>
      <font>
        <b val="0"/>
        <color indexed="16"/>
      </font>
    </dxf>
    <dxf>
      <font>
        <b val="0"/>
        <color indexed="10"/>
      </font>
    </dxf>
    <dxf>
      <font>
        <b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6</xdr:row>
      <xdr:rowOff>57150</xdr:rowOff>
    </xdr:from>
    <xdr:to>
      <xdr:col>13</xdr:col>
      <xdr:colOff>485775</xdr:colOff>
      <xdr:row>9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685925"/>
          <a:ext cx="1647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workbookViewId="0" topLeftCell="A1">
      <selection activeCell="N15" sqref="N15"/>
    </sheetView>
  </sheetViews>
  <sheetFormatPr defaultColWidth="8.7109375" defaultRowHeight="12.75"/>
  <cols>
    <col min="1" max="16384" width="8.7109375" style="1" customWidth="1"/>
  </cols>
  <sheetData>
    <row r="1" spans="1:5" ht="15">
      <c r="A1" s="2" t="s">
        <v>0</v>
      </c>
      <c r="C1" s="3"/>
      <c r="D1" s="3"/>
      <c r="E1" s="3"/>
    </row>
    <row r="2" spans="1:5" ht="15">
      <c r="A2" s="246" t="s">
        <v>1</v>
      </c>
      <c r="B2" s="246"/>
      <c r="C2" s="246"/>
      <c r="D2" s="246"/>
      <c r="E2" s="246"/>
    </row>
    <row r="3" spans="1:11" ht="33" customHeight="1">
      <c r="A3" s="247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35.25" customHeight="1">
      <c r="A4" s="247" t="s">
        <v>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2" ht="15">
      <c r="A5" s="4"/>
      <c r="B5" s="3"/>
      <c r="C5" s="3"/>
      <c r="D5" s="3"/>
      <c r="E5" s="3"/>
      <c r="L5" s="1" t="s">
        <v>193</v>
      </c>
    </row>
    <row r="6" spans="1:12" ht="15">
      <c r="A6" s="246" t="s">
        <v>4</v>
      </c>
      <c r="B6" s="246"/>
      <c r="C6" s="246"/>
      <c r="D6" s="246"/>
      <c r="E6" s="246"/>
      <c r="L6" s="1" t="s">
        <v>194</v>
      </c>
    </row>
    <row r="7" spans="1:11" ht="34.5" customHeight="1">
      <c r="A7" s="247" t="s">
        <v>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5" ht="15.75">
      <c r="A8" s="4"/>
      <c r="B8" s="3"/>
      <c r="C8" s="3"/>
      <c r="D8" s="3"/>
      <c r="E8" s="3"/>
    </row>
    <row r="9" spans="1:5" ht="15.75">
      <c r="A9" s="246" t="s">
        <v>6</v>
      </c>
      <c r="B9" s="246"/>
      <c r="C9" s="246"/>
      <c r="D9" s="246"/>
      <c r="E9" s="246"/>
    </row>
    <row r="10" spans="1:11" ht="36" customHeight="1">
      <c r="A10" s="247" t="s">
        <v>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</row>
    <row r="11" spans="1:5" ht="15">
      <c r="A11" s="4"/>
      <c r="B11" s="3"/>
      <c r="C11" s="3"/>
      <c r="D11" s="3"/>
      <c r="E11" s="3"/>
    </row>
    <row r="12" spans="1:5" ht="15">
      <c r="A12" s="249" t="s">
        <v>8</v>
      </c>
      <c r="B12" s="249"/>
      <c r="C12" s="249"/>
      <c r="D12" s="249"/>
      <c r="E12" s="249"/>
    </row>
    <row r="13" spans="1:11" ht="12.75" customHeight="1">
      <c r="A13" s="247" t="s">
        <v>9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</row>
    <row r="14" spans="1:5" ht="15">
      <c r="A14" s="5"/>
      <c r="B14" s="3"/>
      <c r="C14" s="3"/>
      <c r="D14" s="3"/>
      <c r="E14" s="3"/>
    </row>
    <row r="15" spans="1:5" ht="15">
      <c r="A15" s="246" t="s">
        <v>10</v>
      </c>
      <c r="B15" s="246"/>
      <c r="C15" s="246"/>
      <c r="D15" s="246"/>
      <c r="E15" s="246"/>
    </row>
    <row r="16" spans="1:11" ht="61.5" customHeight="1">
      <c r="A16" s="247" t="s">
        <v>192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5" ht="15">
      <c r="A17" s="4"/>
      <c r="B17" s="3"/>
      <c r="C17" s="3"/>
      <c r="D17" s="3"/>
      <c r="E17" s="3"/>
    </row>
    <row r="18" spans="1:5" ht="15">
      <c r="A18" s="246" t="s">
        <v>11</v>
      </c>
      <c r="B18" s="246"/>
      <c r="C18" s="246"/>
      <c r="D18" s="246"/>
      <c r="E18" s="246"/>
    </row>
    <row r="19" spans="1:11" ht="20.25" customHeight="1">
      <c r="A19" s="247" t="s">
        <v>12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1" ht="22.5" customHeight="1">
      <c r="A20" s="247" t="s">
        <v>13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</row>
    <row r="21" spans="1:11" ht="34.5" customHeight="1">
      <c r="A21" s="247" t="s">
        <v>14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1:11" ht="36.75" customHeight="1">
      <c r="A22" s="247" t="s">
        <v>15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</row>
    <row r="23" spans="1:5" ht="15.75" customHeight="1">
      <c r="A23" s="248" t="s">
        <v>16</v>
      </c>
      <c r="B23" s="248"/>
      <c r="C23" s="248"/>
      <c r="D23" s="248"/>
      <c r="E23" s="248"/>
    </row>
    <row r="24" ht="15">
      <c r="A24" s="4"/>
    </row>
  </sheetData>
  <sheetProtection selectLockedCells="1" selectUnlockedCells="1"/>
  <mergeCells count="17">
    <mergeCell ref="A19:K19"/>
    <mergeCell ref="A20:K20"/>
    <mergeCell ref="A21:K21"/>
    <mergeCell ref="A22:K22"/>
    <mergeCell ref="A23:E23"/>
    <mergeCell ref="A10:K10"/>
    <mergeCell ref="A12:E12"/>
    <mergeCell ref="A13:K13"/>
    <mergeCell ref="A15:E15"/>
    <mergeCell ref="A16:K16"/>
    <mergeCell ref="A18:E18"/>
    <mergeCell ref="A2:E2"/>
    <mergeCell ref="A3:K3"/>
    <mergeCell ref="A4:K4"/>
    <mergeCell ref="A6:E6"/>
    <mergeCell ref="A7:K7"/>
    <mergeCell ref="A9:E9"/>
  </mergeCells>
  <printOptions/>
  <pageMargins left="0.7" right="0.7" top="0.75" bottom="0.75" header="0.5118055555555555" footer="0.511805555555555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view="pageBreakPreview" zoomScale="10" zoomScaleSheetLayoutView="10" zoomScalePageLayoutView="0" workbookViewId="0" topLeftCell="A1">
      <selection activeCell="B106" sqref="B106"/>
    </sheetView>
  </sheetViews>
  <sheetFormatPr defaultColWidth="8.7109375" defaultRowHeight="12.75"/>
  <cols>
    <col min="1" max="1" width="43.421875" style="6" customWidth="1"/>
    <col min="2" max="2" width="12.140625" style="6" customWidth="1"/>
    <col min="3" max="3" width="11.28125" style="6" customWidth="1"/>
    <col min="4" max="4" width="12.140625" style="6" customWidth="1"/>
    <col min="5" max="16384" width="8.7109375" style="6" customWidth="1"/>
  </cols>
  <sheetData>
    <row r="1" spans="1:4" ht="14.25">
      <c r="A1" s="257" t="s">
        <v>190</v>
      </c>
      <c r="B1" s="257"/>
      <c r="C1" s="257"/>
      <c r="D1" s="257"/>
    </row>
    <row r="2" spans="1:4" ht="14.25">
      <c r="A2" s="7" t="s">
        <v>17</v>
      </c>
      <c r="B2" s="8"/>
      <c r="C2" s="8"/>
      <c r="D2" s="8"/>
    </row>
    <row r="3" spans="1:4" ht="14.25">
      <c r="A3" s="8"/>
      <c r="B3" s="8"/>
      <c r="C3" s="8"/>
      <c r="D3" s="8"/>
    </row>
    <row r="4" spans="1:4" ht="14.25">
      <c r="A4" s="9" t="s">
        <v>18</v>
      </c>
      <c r="B4" s="10" t="s">
        <v>19</v>
      </c>
      <c r="C4" s="10" t="s">
        <v>20</v>
      </c>
      <c r="D4" s="11" t="s">
        <v>21</v>
      </c>
    </row>
    <row r="5" spans="1:4" ht="14.25">
      <c r="A5" s="12" t="s">
        <v>22</v>
      </c>
      <c r="B5" s="13">
        <v>1</v>
      </c>
      <c r="C5" s="14">
        <v>32.68</v>
      </c>
      <c r="D5" s="15">
        <f aca="true" t="shared" si="0" ref="D5:D10">(B5*2080)*C5</f>
        <v>67974.4</v>
      </c>
    </row>
    <row r="6" spans="1:4" ht="14.25">
      <c r="A6" s="16" t="s">
        <v>23</v>
      </c>
      <c r="B6" s="13">
        <v>4</v>
      </c>
      <c r="C6" s="17">
        <v>26.87</v>
      </c>
      <c r="D6" s="18">
        <f t="shared" si="0"/>
        <v>223558.4</v>
      </c>
    </row>
    <row r="7" spans="1:4" ht="14.25">
      <c r="A7" s="16" t="s">
        <v>24</v>
      </c>
      <c r="B7" s="13">
        <v>2</v>
      </c>
      <c r="C7" s="17">
        <v>24.69</v>
      </c>
      <c r="D7" s="18">
        <f t="shared" si="0"/>
        <v>102710.40000000001</v>
      </c>
    </row>
    <row r="8" spans="1:4" ht="14.25">
      <c r="A8" s="16" t="s">
        <v>25</v>
      </c>
      <c r="B8" s="13">
        <v>0.5</v>
      </c>
      <c r="C8" s="17">
        <v>41</v>
      </c>
      <c r="D8" s="18">
        <f t="shared" si="0"/>
        <v>42640</v>
      </c>
    </row>
    <row r="9" spans="1:4" ht="14.25">
      <c r="A9" s="19"/>
      <c r="B9" s="20"/>
      <c r="C9" s="21"/>
      <c r="D9" s="18">
        <f t="shared" si="0"/>
        <v>0</v>
      </c>
    </row>
    <row r="10" spans="1:4" ht="14.25">
      <c r="A10" s="19"/>
      <c r="B10" s="20"/>
      <c r="C10" s="21"/>
      <c r="D10" s="18">
        <f t="shared" si="0"/>
        <v>0</v>
      </c>
    </row>
    <row r="11" spans="1:4" ht="14.25">
      <c r="A11" s="16" t="s">
        <v>26</v>
      </c>
      <c r="B11" s="22"/>
      <c r="C11" s="21"/>
      <c r="D11" s="23">
        <f>SUM(D5:D10)</f>
        <v>436883.2</v>
      </c>
    </row>
    <row r="12" spans="1:4" ht="14.25">
      <c r="A12" s="16" t="str">
        <f>"Taxes &amp; Benefits @ "&amp;$B$36</f>
        <v>Taxes &amp; Benefits @ 0.32</v>
      </c>
      <c r="B12" s="22"/>
      <c r="C12" s="24"/>
      <c r="D12" s="23">
        <f>D11*$B$36</f>
        <v>139802.624</v>
      </c>
    </row>
    <row r="13" spans="1:4" ht="14.25">
      <c r="A13" s="25" t="s">
        <v>27</v>
      </c>
      <c r="B13" s="26">
        <f>SUM(B5:B12)</f>
        <v>7.5</v>
      </c>
      <c r="C13" s="27"/>
      <c r="D13" s="28">
        <f>+D12+D11</f>
        <v>576685.824</v>
      </c>
    </row>
    <row r="14" spans="1:4" ht="14.25">
      <c r="A14" s="8"/>
      <c r="B14" s="8"/>
      <c r="C14" s="8"/>
      <c r="D14" s="8"/>
    </row>
    <row r="16" spans="1:4" ht="14.25">
      <c r="A16" s="7" t="s">
        <v>28</v>
      </c>
      <c r="B16" s="8"/>
      <c r="C16" s="8"/>
      <c r="D16" s="8"/>
    </row>
    <row r="17" spans="1:4" ht="14.25">
      <c r="A17" s="8"/>
      <c r="B17" s="8"/>
      <c r="C17" s="8"/>
      <c r="D17" s="8"/>
    </row>
    <row r="18" spans="1:4" ht="14.25">
      <c r="A18" s="9" t="s">
        <v>18</v>
      </c>
      <c r="B18" s="10" t="s">
        <v>19</v>
      </c>
      <c r="C18" s="10" t="s">
        <v>20</v>
      </c>
      <c r="D18" s="11" t="s">
        <v>21</v>
      </c>
    </row>
    <row r="19" spans="1:4" ht="14.25">
      <c r="A19" s="12" t="s">
        <v>29</v>
      </c>
      <c r="B19" s="13">
        <v>0.85</v>
      </c>
      <c r="C19" s="14">
        <v>60.56</v>
      </c>
      <c r="D19" s="15">
        <f aca="true" t="shared" si="1" ref="D19:D26">(B19*2080)*C19</f>
        <v>107070.08</v>
      </c>
    </row>
    <row r="20" spans="1:4" ht="14.25">
      <c r="A20" s="16" t="s">
        <v>30</v>
      </c>
      <c r="B20" s="13">
        <v>0.5</v>
      </c>
      <c r="C20" s="17">
        <v>38.22</v>
      </c>
      <c r="D20" s="18">
        <f t="shared" si="1"/>
        <v>39748.799999999996</v>
      </c>
    </row>
    <row r="21" spans="1:4" ht="14.25">
      <c r="A21" s="16" t="s">
        <v>31</v>
      </c>
      <c r="B21" s="13">
        <v>0.25</v>
      </c>
      <c r="C21" s="17">
        <v>28.85</v>
      </c>
      <c r="D21" s="18">
        <f t="shared" si="1"/>
        <v>15002</v>
      </c>
    </row>
    <row r="22" spans="1:4" ht="14.25">
      <c r="A22" s="16" t="s">
        <v>32</v>
      </c>
      <c r="B22" s="13">
        <v>0.25</v>
      </c>
      <c r="C22" s="17">
        <v>22.68</v>
      </c>
      <c r="D22" s="18">
        <f t="shared" si="1"/>
        <v>11793.6</v>
      </c>
    </row>
    <row r="23" spans="1:4" ht="14.25">
      <c r="A23" s="16" t="s">
        <v>33</v>
      </c>
      <c r="B23" s="13">
        <v>0.5</v>
      </c>
      <c r="C23" s="17">
        <v>33.68</v>
      </c>
      <c r="D23" s="18">
        <f t="shared" si="1"/>
        <v>35027.2</v>
      </c>
    </row>
    <row r="24" spans="1:4" ht="14.25">
      <c r="A24" s="16" t="s">
        <v>34</v>
      </c>
      <c r="B24" s="13">
        <v>0.5</v>
      </c>
      <c r="C24" s="17">
        <v>36.84</v>
      </c>
      <c r="D24" s="18">
        <f t="shared" si="1"/>
        <v>38313.600000000006</v>
      </c>
    </row>
    <row r="25" spans="1:4" ht="14.25">
      <c r="A25" s="16" t="s">
        <v>35</v>
      </c>
      <c r="B25" s="29">
        <v>0.5</v>
      </c>
      <c r="C25" s="21">
        <v>38</v>
      </c>
      <c r="D25" s="18">
        <f t="shared" si="1"/>
        <v>39520</v>
      </c>
    </row>
    <row r="26" spans="1:4" ht="14.25">
      <c r="A26" s="16" t="s">
        <v>36</v>
      </c>
      <c r="B26" s="29">
        <v>1</v>
      </c>
      <c r="C26" s="21">
        <v>27</v>
      </c>
      <c r="D26" s="18">
        <f t="shared" si="1"/>
        <v>56160</v>
      </c>
    </row>
    <row r="27" spans="1:4" ht="14.25">
      <c r="A27" s="16" t="s">
        <v>37</v>
      </c>
      <c r="B27" s="29">
        <v>1</v>
      </c>
      <c r="C27" s="21">
        <v>24.5</v>
      </c>
      <c r="D27" s="18">
        <f>(B27*2080)*C27</f>
        <v>50960</v>
      </c>
    </row>
    <row r="28" spans="1:4" ht="14.25">
      <c r="A28" s="16" t="s">
        <v>38</v>
      </c>
      <c r="B28" s="29">
        <v>1</v>
      </c>
      <c r="C28" s="21">
        <v>22</v>
      </c>
      <c r="D28" s="18">
        <f>(B28*2080)*C28</f>
        <v>45760</v>
      </c>
    </row>
    <row r="29" spans="1:4" ht="14.25">
      <c r="A29" s="16" t="s">
        <v>39</v>
      </c>
      <c r="B29" s="29">
        <v>1</v>
      </c>
      <c r="C29" s="21">
        <v>20</v>
      </c>
      <c r="D29" s="18">
        <f>(B29*2080)*C29</f>
        <v>41600</v>
      </c>
    </row>
    <row r="30" spans="1:4" ht="14.25">
      <c r="A30" s="30" t="s">
        <v>40</v>
      </c>
      <c r="B30" s="29">
        <v>1.5</v>
      </c>
      <c r="C30" s="21">
        <v>21</v>
      </c>
      <c r="D30" s="18">
        <f>(B30*2080)*C30</f>
        <v>65520</v>
      </c>
    </row>
    <row r="31" spans="1:4" ht="14.25">
      <c r="A31" s="16"/>
      <c r="B31" s="29"/>
      <c r="C31" s="21"/>
      <c r="D31" s="18">
        <f>(B31*2080)*C31</f>
        <v>0</v>
      </c>
    </row>
    <row r="32" spans="1:4" ht="14.25">
      <c r="A32" s="16" t="s">
        <v>26</v>
      </c>
      <c r="B32" s="29"/>
      <c r="C32" s="21"/>
      <c r="D32" s="23">
        <f>SUM(D19:D31)</f>
        <v>546475.28</v>
      </c>
    </row>
    <row r="33" spans="1:4" ht="14.25">
      <c r="A33" s="16" t="str">
        <f>"Taxes &amp; Benefits @ "&amp;$B$36</f>
        <v>Taxes &amp; Benefits @ 0.32</v>
      </c>
      <c r="B33" s="22"/>
      <c r="C33" s="24"/>
      <c r="D33" s="23">
        <f>D32*$B$36</f>
        <v>174872.0896</v>
      </c>
    </row>
    <row r="34" spans="1:4" ht="14.25">
      <c r="A34" s="25" t="s">
        <v>27</v>
      </c>
      <c r="B34" s="26">
        <f>SUM(B19:B33)</f>
        <v>8.85</v>
      </c>
      <c r="C34" s="27"/>
      <c r="D34" s="28">
        <f>+D33+D32</f>
        <v>721347.3696000001</v>
      </c>
    </row>
    <row r="35" spans="1:4" ht="14.25">
      <c r="A35" s="8"/>
      <c r="B35" s="8"/>
      <c r="C35" s="8"/>
      <c r="D35" s="8"/>
    </row>
    <row r="36" spans="1:4" ht="14.25">
      <c r="A36" s="8" t="s">
        <v>41</v>
      </c>
      <c r="B36" s="31">
        <v>0.32</v>
      </c>
      <c r="C36" s="8"/>
      <c r="D36" s="8"/>
    </row>
    <row r="37" spans="1:4" ht="14.25">
      <c r="A37" s="32"/>
      <c r="B37" s="33"/>
      <c r="C37" s="8"/>
      <c r="D37" s="8"/>
    </row>
    <row r="38" spans="1:2" ht="14.25">
      <c r="A38" s="260" t="s">
        <v>42</v>
      </c>
      <c r="B38" s="260"/>
    </row>
    <row r="39" spans="1:2" ht="14.25">
      <c r="A39" s="34" t="s">
        <v>43</v>
      </c>
      <c r="B39" s="35">
        <v>33600</v>
      </c>
    </row>
    <row r="40" spans="1:2" ht="14.25">
      <c r="A40" s="36"/>
      <c r="B40" s="37"/>
    </row>
    <row r="41" spans="1:2" ht="14.25">
      <c r="A41" s="38" t="s">
        <v>44</v>
      </c>
      <c r="B41" s="37">
        <v>9500</v>
      </c>
    </row>
    <row r="42" spans="1:2" ht="14.25">
      <c r="A42" s="39"/>
      <c r="B42" s="37"/>
    </row>
    <row r="43" spans="1:2" ht="14.25">
      <c r="A43" s="40" t="s">
        <v>45</v>
      </c>
      <c r="B43" s="37"/>
    </row>
    <row r="44" spans="1:2" ht="15">
      <c r="A44" s="36" t="s">
        <v>46</v>
      </c>
      <c r="B44" s="41">
        <v>218500</v>
      </c>
    </row>
    <row r="45" spans="1:2" ht="15">
      <c r="A45" s="36" t="s">
        <v>47</v>
      </c>
      <c r="B45" s="41">
        <v>284000</v>
      </c>
    </row>
    <row r="46" spans="1:2" ht="14.25">
      <c r="A46" s="39"/>
      <c r="B46" s="37"/>
    </row>
    <row r="47" spans="1:2" ht="14.25">
      <c r="A47" s="40" t="s">
        <v>48</v>
      </c>
      <c r="B47" s="37">
        <v>93000</v>
      </c>
    </row>
    <row r="48" spans="1:2" ht="14.25">
      <c r="A48" s="40"/>
      <c r="B48" s="37"/>
    </row>
    <row r="49" spans="1:2" ht="14.25">
      <c r="A49" s="42" t="s">
        <v>49</v>
      </c>
      <c r="B49" s="43">
        <v>822739</v>
      </c>
    </row>
    <row r="50" spans="1:2" ht="14.25">
      <c r="A50" s="39"/>
      <c r="B50" s="44"/>
    </row>
    <row r="51" spans="1:2" ht="14.25">
      <c r="A51" s="45" t="s">
        <v>50</v>
      </c>
      <c r="B51" s="46">
        <f>+B49+B47+B45+B44+B39+D34+D13</f>
        <v>2749872.1936</v>
      </c>
    </row>
    <row r="53" ht="14.25">
      <c r="B53" s="33"/>
    </row>
    <row r="59" spans="1:16" ht="15" customHeight="1">
      <c r="A59" s="47" t="s">
        <v>51</v>
      </c>
      <c r="B59" s="48"/>
      <c r="C59" s="48"/>
      <c r="D59" s="48"/>
      <c r="E59" s="48"/>
      <c r="F59" s="48"/>
      <c r="G59" s="250" t="s">
        <v>52</v>
      </c>
      <c r="H59" s="250"/>
      <c r="I59" s="49"/>
      <c r="J59" s="50" t="s">
        <v>53</v>
      </c>
      <c r="K59" s="51"/>
      <c r="L59" s="52"/>
      <c r="M59" s="53"/>
      <c r="N59" s="251" t="s">
        <v>52</v>
      </c>
      <c r="O59" s="251"/>
      <c r="P59" s="251"/>
    </row>
    <row r="60" spans="1:16" ht="15" customHeight="1">
      <c r="A60" s="54" t="s">
        <v>54</v>
      </c>
      <c r="B60" s="55"/>
      <c r="C60" s="55"/>
      <c r="D60" s="55"/>
      <c r="E60" s="55"/>
      <c r="F60" s="56"/>
      <c r="G60" s="252">
        <v>313636</v>
      </c>
      <c r="H60" s="252"/>
      <c r="I60" s="57"/>
      <c r="J60" s="55" t="s">
        <v>55</v>
      </c>
      <c r="K60" s="58"/>
      <c r="L60" s="58"/>
      <c r="M60" s="59"/>
      <c r="N60" s="253">
        <v>150000</v>
      </c>
      <c r="O60" s="253"/>
      <c r="P60" s="253"/>
    </row>
    <row r="61" spans="1:16" ht="15" customHeight="1">
      <c r="A61" s="60" t="s">
        <v>56</v>
      </c>
      <c r="B61" s="61"/>
      <c r="C61" s="61"/>
      <c r="D61" s="61"/>
      <c r="E61" s="55"/>
      <c r="F61" s="56"/>
      <c r="G61" s="252"/>
      <c r="H61" s="252"/>
      <c r="I61" s="57"/>
      <c r="J61" s="61" t="s">
        <v>57</v>
      </c>
      <c r="K61" s="62"/>
      <c r="L61" s="62"/>
      <c r="M61" s="59"/>
      <c r="N61" s="254">
        <v>10000</v>
      </c>
      <c r="O61" s="254"/>
      <c r="P61" s="254"/>
    </row>
    <row r="62" spans="1:16" ht="15" customHeight="1">
      <c r="A62" s="60" t="s">
        <v>58</v>
      </c>
      <c r="B62" s="61"/>
      <c r="C62" s="61"/>
      <c r="D62" s="61"/>
      <c r="E62" s="55"/>
      <c r="F62" s="56"/>
      <c r="G62" s="252"/>
      <c r="H62" s="252"/>
      <c r="I62" s="57"/>
      <c r="J62" s="61" t="s">
        <v>59</v>
      </c>
      <c r="K62" s="62"/>
      <c r="L62" s="62"/>
      <c r="M62" s="59"/>
      <c r="N62" s="254">
        <v>6946</v>
      </c>
      <c r="O62" s="254"/>
      <c r="P62" s="254"/>
    </row>
    <row r="63" spans="1:16" ht="14.25">
      <c r="A63" s="54" t="s">
        <v>60</v>
      </c>
      <c r="B63" s="55"/>
      <c r="C63" s="55"/>
      <c r="D63" s="55"/>
      <c r="E63" s="55"/>
      <c r="F63" s="56"/>
      <c r="G63" s="252">
        <v>15018</v>
      </c>
      <c r="H63" s="252"/>
      <c r="I63" s="57"/>
      <c r="J63" s="55" t="s">
        <v>61</v>
      </c>
      <c r="K63" s="62"/>
      <c r="L63" s="62"/>
      <c r="M63" s="59"/>
      <c r="N63" s="254">
        <v>5000</v>
      </c>
      <c r="O63" s="254"/>
      <c r="P63" s="254"/>
    </row>
    <row r="64" spans="1:16" ht="14.25">
      <c r="A64" s="63" t="s">
        <v>62</v>
      </c>
      <c r="B64" s="55"/>
      <c r="C64" s="55"/>
      <c r="D64" s="55"/>
      <c r="E64" s="55"/>
      <c r="F64" s="55"/>
      <c r="G64" s="258">
        <f>SUM(G60:H63)</f>
        <v>328654</v>
      </c>
      <c r="H64" s="258"/>
      <c r="I64" s="64"/>
      <c r="J64" s="65" t="s">
        <v>63</v>
      </c>
      <c r="K64" s="58"/>
      <c r="L64" s="58"/>
      <c r="M64" s="59"/>
      <c r="N64" s="259">
        <f>SUM(N60:P63)</f>
        <v>171946</v>
      </c>
      <c r="O64" s="259"/>
      <c r="P64" s="259"/>
    </row>
    <row r="65" spans="1:16" ht="14.25">
      <c r="A65" s="63"/>
      <c r="B65" s="55"/>
      <c r="C65" s="55"/>
      <c r="D65" s="55"/>
      <c r="E65" s="55"/>
      <c r="F65" s="55"/>
      <c r="G65" s="66"/>
      <c r="H65" s="67" t="s">
        <v>64</v>
      </c>
      <c r="I65" s="64"/>
      <c r="J65" s="65"/>
      <c r="K65" s="58"/>
      <c r="L65" s="58"/>
      <c r="M65" s="59"/>
      <c r="N65" s="68"/>
      <c r="O65" s="68"/>
      <c r="P65" s="69" t="s">
        <v>65</v>
      </c>
    </row>
    <row r="66" spans="1:16" ht="15">
      <c r="A66" s="54"/>
      <c r="B66" s="55"/>
      <c r="C66" s="55"/>
      <c r="D66" s="55"/>
      <c r="E66" s="55"/>
      <c r="F66" s="255" t="s">
        <v>66</v>
      </c>
      <c r="G66" s="255"/>
      <c r="H66" s="255"/>
      <c r="I66" s="255"/>
      <c r="J66" s="256">
        <f>G64+N64</f>
        <v>500600</v>
      </c>
      <c r="K66" s="256"/>
      <c r="L66" s="55"/>
      <c r="M66" s="55"/>
      <c r="N66" s="55"/>
      <c r="O66" s="55"/>
      <c r="P66" s="71"/>
    </row>
    <row r="67" spans="1:16" ht="15">
      <c r="A67" s="54"/>
      <c r="B67" s="55"/>
      <c r="C67" s="55"/>
      <c r="D67" s="55"/>
      <c r="E67" s="55"/>
      <c r="F67" s="70"/>
      <c r="G67" s="70"/>
      <c r="H67" s="70"/>
      <c r="I67" s="70"/>
      <c r="J67" s="72"/>
      <c r="K67" s="72"/>
      <c r="L67" s="55"/>
      <c r="M67" s="55"/>
      <c r="N67" s="55"/>
      <c r="O67" s="73"/>
      <c r="P67" s="74"/>
    </row>
    <row r="68" ht="15"/>
  </sheetData>
  <sheetProtection selectLockedCells="1" selectUnlockedCells="1"/>
  <mergeCells count="16">
    <mergeCell ref="F66:I66"/>
    <mergeCell ref="J66:K66"/>
    <mergeCell ref="A1:D1"/>
    <mergeCell ref="G62:H62"/>
    <mergeCell ref="N62:P62"/>
    <mergeCell ref="G63:H63"/>
    <mergeCell ref="N63:P63"/>
    <mergeCell ref="G64:H64"/>
    <mergeCell ref="N64:P64"/>
    <mergeCell ref="A38:B38"/>
    <mergeCell ref="G59:H59"/>
    <mergeCell ref="N59:P59"/>
    <mergeCell ref="G60:H60"/>
    <mergeCell ref="N60:P60"/>
    <mergeCell ref="G61:H61"/>
    <mergeCell ref="N61:P61"/>
  </mergeCells>
  <printOptions/>
  <pageMargins left="0.5" right="0.5" top="0.25" bottom="0.25" header="0.5118055555555555" footer="0.5118055555555555"/>
  <pageSetup fitToWidth="0" fitToHeight="1" horizontalDpi="300" verticalDpi="300" orientation="landscape" scale="63" r:id="rId3"/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Normal="96" zoomScalePageLayoutView="0" workbookViewId="0" topLeftCell="A19">
      <selection activeCell="E11" sqref="E11"/>
    </sheetView>
  </sheetViews>
  <sheetFormatPr defaultColWidth="8.7109375" defaultRowHeight="12.75"/>
  <cols>
    <col min="1" max="3" width="14.421875" style="75" customWidth="1"/>
    <col min="4" max="4" width="10.7109375" style="75" customWidth="1"/>
    <col min="5" max="5" width="12.140625" style="76" customWidth="1"/>
    <col min="6" max="6" width="11.421875" style="76" customWidth="1"/>
    <col min="7" max="17" width="8.7109375" style="76" customWidth="1"/>
    <col min="18" max="16384" width="8.7109375" style="75" customWidth="1"/>
  </cols>
  <sheetData>
    <row r="1" spans="1:6" ht="23.25" customHeight="1">
      <c r="A1" s="261" t="s">
        <v>67</v>
      </c>
      <c r="B1" s="261"/>
      <c r="C1" s="261"/>
      <c r="D1" s="261"/>
      <c r="E1" s="261"/>
      <c r="F1" s="261"/>
    </row>
    <row r="2" spans="1:6" ht="23.25" customHeight="1">
      <c r="A2" s="262" t="s">
        <v>68</v>
      </c>
      <c r="B2" s="262"/>
      <c r="C2" s="262"/>
      <c r="D2" s="262"/>
      <c r="E2" s="262"/>
      <c r="F2" s="262"/>
    </row>
    <row r="3" spans="1:7" ht="23.25" customHeight="1">
      <c r="A3" s="77"/>
      <c r="B3" s="263" t="s">
        <v>69</v>
      </c>
      <c r="C3" s="263"/>
      <c r="D3" s="263"/>
      <c r="E3" s="264" t="s">
        <v>70</v>
      </c>
      <c r="F3" s="264"/>
      <c r="G3" s="78"/>
    </row>
    <row r="4" spans="1:6" ht="38.25" customHeight="1">
      <c r="A4" s="79" t="s">
        <v>71</v>
      </c>
      <c r="B4" s="80" t="s">
        <v>72</v>
      </c>
      <c r="C4" s="80" t="s">
        <v>73</v>
      </c>
      <c r="D4" s="81" t="s">
        <v>74</v>
      </c>
      <c r="E4" s="265" t="s">
        <v>75</v>
      </c>
      <c r="F4" s="265" t="s">
        <v>76</v>
      </c>
    </row>
    <row r="5" spans="1:6" ht="15" customHeight="1">
      <c r="A5" s="82" t="s">
        <v>77</v>
      </c>
      <c r="B5" s="83" t="s">
        <v>78</v>
      </c>
      <c r="C5" s="83" t="s">
        <v>79</v>
      </c>
      <c r="D5" s="84" t="s">
        <v>80</v>
      </c>
      <c r="E5" s="265"/>
      <c r="F5" s="265"/>
    </row>
    <row r="6" spans="1:6" ht="26.25" customHeight="1">
      <c r="A6" s="82" t="s">
        <v>81</v>
      </c>
      <c r="B6" s="83">
        <v>1</v>
      </c>
      <c r="C6" s="83">
        <v>1</v>
      </c>
      <c r="D6" s="84">
        <v>4</v>
      </c>
      <c r="E6" s="265"/>
      <c r="F6" s="265"/>
    </row>
    <row r="7" spans="1:6" ht="20.25" customHeight="1">
      <c r="A7" s="85" t="s">
        <v>82</v>
      </c>
      <c r="B7" s="86">
        <v>109.28</v>
      </c>
      <c r="C7" s="86">
        <v>46.96</v>
      </c>
      <c r="D7" s="87">
        <v>33.83</v>
      </c>
      <c r="E7" s="265"/>
      <c r="F7" s="265"/>
    </row>
    <row r="8" spans="1:6" ht="19.5" customHeight="1">
      <c r="A8" s="88" t="s">
        <v>83</v>
      </c>
      <c r="B8" s="89">
        <v>7</v>
      </c>
      <c r="C8" s="89">
        <v>7</v>
      </c>
      <c r="D8" s="90">
        <v>8</v>
      </c>
      <c r="E8" s="91">
        <f>SUM(B8:D8)</f>
        <v>22</v>
      </c>
      <c r="F8" s="92">
        <f aca="true" t="shared" si="0" ref="F8:F16">E8/4</f>
        <v>5.5</v>
      </c>
    </row>
    <row r="9" spans="1:6" ht="19.5" customHeight="1">
      <c r="A9" s="88" t="s">
        <v>84</v>
      </c>
      <c r="B9" s="93">
        <v>7</v>
      </c>
      <c r="C9" s="93">
        <v>7</v>
      </c>
      <c r="D9" s="94">
        <v>6</v>
      </c>
      <c r="E9" s="95">
        <f aca="true" t="shared" si="1" ref="E9:E25">SUM(B9:D9)</f>
        <v>20</v>
      </c>
      <c r="F9" s="96">
        <f t="shared" si="0"/>
        <v>5</v>
      </c>
    </row>
    <row r="10" spans="1:6" ht="19.5" customHeight="1">
      <c r="A10" s="88" t="s">
        <v>85</v>
      </c>
      <c r="B10" s="93">
        <v>7</v>
      </c>
      <c r="C10" s="93">
        <v>7</v>
      </c>
      <c r="D10" s="94">
        <v>8</v>
      </c>
      <c r="E10" s="95" t="e">
        <f>SUM(Notes!G5B10:D10)</f>
        <v>#NAME?</v>
      </c>
      <c r="F10" s="96" t="e">
        <f t="shared" si="0"/>
        <v>#NAME?</v>
      </c>
    </row>
    <row r="11" spans="1:6" ht="19.5" customHeight="1">
      <c r="A11" s="88" t="s">
        <v>86</v>
      </c>
      <c r="B11" s="93">
        <v>7</v>
      </c>
      <c r="C11" s="93">
        <v>7</v>
      </c>
      <c r="D11" s="94">
        <v>6</v>
      </c>
      <c r="E11" s="95">
        <f t="shared" si="1"/>
        <v>20</v>
      </c>
      <c r="F11" s="96">
        <f t="shared" si="0"/>
        <v>5</v>
      </c>
    </row>
    <row r="12" spans="1:6" ht="19.5" customHeight="1">
      <c r="A12" s="88" t="s">
        <v>87</v>
      </c>
      <c r="B12" s="97">
        <v>7</v>
      </c>
      <c r="C12" s="97">
        <v>7</v>
      </c>
      <c r="D12" s="90">
        <v>8</v>
      </c>
      <c r="E12" s="98">
        <f t="shared" si="1"/>
        <v>22</v>
      </c>
      <c r="F12" s="99">
        <f t="shared" si="0"/>
        <v>5.5</v>
      </c>
    </row>
    <row r="13" spans="1:6" ht="19.5" customHeight="1">
      <c r="A13" s="88" t="s">
        <v>88</v>
      </c>
      <c r="B13" s="93">
        <v>7</v>
      </c>
      <c r="C13" s="93">
        <v>7</v>
      </c>
      <c r="D13" s="94">
        <v>6</v>
      </c>
      <c r="E13" s="95">
        <f t="shared" si="1"/>
        <v>20</v>
      </c>
      <c r="F13" s="96">
        <f t="shared" si="0"/>
        <v>5</v>
      </c>
    </row>
    <row r="14" spans="1:6" ht="19.5" customHeight="1">
      <c r="A14" s="88" t="s">
        <v>89</v>
      </c>
      <c r="B14" s="93">
        <v>7</v>
      </c>
      <c r="C14" s="93">
        <v>7</v>
      </c>
      <c r="D14" s="94">
        <v>8</v>
      </c>
      <c r="E14" s="95">
        <f t="shared" si="1"/>
        <v>22</v>
      </c>
      <c r="F14" s="96">
        <f t="shared" si="0"/>
        <v>5.5</v>
      </c>
    </row>
    <row r="15" spans="1:6" ht="19.5" customHeight="1">
      <c r="A15" s="88" t="s">
        <v>90</v>
      </c>
      <c r="B15" s="93">
        <v>7</v>
      </c>
      <c r="C15" s="93">
        <v>7</v>
      </c>
      <c r="D15" s="94">
        <v>6</v>
      </c>
      <c r="E15" s="95">
        <f t="shared" si="1"/>
        <v>20</v>
      </c>
      <c r="F15" s="96">
        <f t="shared" si="0"/>
        <v>5</v>
      </c>
    </row>
    <row r="16" spans="1:6" ht="19.5" customHeight="1">
      <c r="A16" s="88" t="s">
        <v>91</v>
      </c>
      <c r="B16" s="100">
        <v>4</v>
      </c>
      <c r="C16" s="100">
        <v>4</v>
      </c>
      <c r="D16" s="101">
        <v>6</v>
      </c>
      <c r="E16" s="95">
        <f>SUM(B16:D16)</f>
        <v>14</v>
      </c>
      <c r="F16" s="96">
        <f t="shared" si="0"/>
        <v>3.5</v>
      </c>
    </row>
    <row r="17" spans="1:6" ht="19.5" customHeight="1">
      <c r="A17" s="88" t="s">
        <v>92</v>
      </c>
      <c r="B17" s="100"/>
      <c r="C17" s="93"/>
      <c r="D17" s="101"/>
      <c r="E17" s="102"/>
      <c r="F17" s="103"/>
    </row>
    <row r="18" spans="1:6" ht="19.5" customHeight="1">
      <c r="A18" s="88" t="s">
        <v>93</v>
      </c>
      <c r="B18" s="100"/>
      <c r="C18" s="93"/>
      <c r="D18" s="101"/>
      <c r="E18" s="102"/>
      <c r="F18" s="103"/>
    </row>
    <row r="19" spans="1:6" ht="19.5" customHeight="1">
      <c r="A19" s="88" t="s">
        <v>94</v>
      </c>
      <c r="B19" s="100"/>
      <c r="C19" s="93"/>
      <c r="D19" s="101"/>
      <c r="E19" s="102"/>
      <c r="F19" s="103"/>
    </row>
    <row r="20" spans="1:6" ht="19.5" customHeight="1">
      <c r="A20" s="104" t="s">
        <v>95</v>
      </c>
      <c r="B20" s="105"/>
      <c r="C20" s="105"/>
      <c r="D20" s="106"/>
      <c r="E20" s="107" t="e">
        <f>SUM(E8:E19)</f>
        <v>#NAME?</v>
      </c>
      <c r="F20" s="108" t="e">
        <f>E20/4</f>
        <v>#NAME?</v>
      </c>
    </row>
    <row r="21" spans="5:6" ht="14.25">
      <c r="E21" s="75"/>
      <c r="F21" s="109"/>
    </row>
    <row r="22" spans="1:6" ht="14.25">
      <c r="A22" s="75" t="s">
        <v>96</v>
      </c>
      <c r="B22" s="110">
        <f>SUM(B8:B21)</f>
        <v>60</v>
      </c>
      <c r="C22" s="110">
        <f>SUM(C8:C21)</f>
        <v>60</v>
      </c>
      <c r="D22" s="110">
        <f>SUM(D8:D21)</f>
        <v>62</v>
      </c>
      <c r="E22" s="111">
        <f t="shared" si="1"/>
        <v>182</v>
      </c>
      <c r="F22" s="112"/>
    </row>
    <row r="23" spans="1:6" ht="14.25">
      <c r="A23" s="75" t="s">
        <v>97</v>
      </c>
      <c r="B23" s="113">
        <f>ROUND(B22*B7,2)</f>
        <v>6556.8</v>
      </c>
      <c r="C23" s="113">
        <f>ROUND(C22*C7,2)</f>
        <v>2817.6</v>
      </c>
      <c r="D23" s="113">
        <f>ROUND(D22*D7,2)</f>
        <v>2097.46</v>
      </c>
      <c r="E23" s="113">
        <f t="shared" si="1"/>
        <v>11471.86</v>
      </c>
      <c r="F23" s="114"/>
    </row>
    <row r="24" spans="1:6" ht="14.25">
      <c r="A24" s="75" t="s">
        <v>98</v>
      </c>
      <c r="B24" s="115"/>
      <c r="C24" s="115"/>
      <c r="D24" s="116">
        <f>COUNT(D8:D19)</f>
        <v>9</v>
      </c>
      <c r="E24" s="111">
        <f t="shared" si="1"/>
        <v>9</v>
      </c>
      <c r="F24" s="117"/>
    </row>
    <row r="25" spans="1:6" ht="14.25">
      <c r="A25" s="75" t="s">
        <v>99</v>
      </c>
      <c r="B25" s="115"/>
      <c r="C25" s="115"/>
      <c r="D25" s="118">
        <v>7</v>
      </c>
      <c r="E25" s="111">
        <f t="shared" si="1"/>
        <v>7</v>
      </c>
      <c r="F25" s="117"/>
    </row>
    <row r="27" ht="14.25">
      <c r="D27" s="119"/>
    </row>
  </sheetData>
  <sheetProtection selectLockedCells="1" selectUnlockedCells="1"/>
  <mergeCells count="6">
    <mergeCell ref="A1:F1"/>
    <mergeCell ref="A2:F2"/>
    <mergeCell ref="B3:D3"/>
    <mergeCell ref="E3:F3"/>
    <mergeCell ref="E4:E7"/>
    <mergeCell ref="F4:F7"/>
  </mergeCells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view="pageBreakPreview" zoomScale="60" zoomScalePageLayoutView="0" workbookViewId="0" topLeftCell="A34">
      <selection activeCell="N4" sqref="N4"/>
    </sheetView>
  </sheetViews>
  <sheetFormatPr defaultColWidth="8.7109375" defaultRowHeight="14.25" customHeight="1"/>
  <cols>
    <col min="1" max="1" width="33.8515625" style="120" customWidth="1"/>
    <col min="2" max="2" width="14.28125" style="120" customWidth="1"/>
    <col min="3" max="3" width="11.8515625" style="120" customWidth="1"/>
    <col min="4" max="7" width="12.7109375" style="120" customWidth="1"/>
    <col min="8" max="8" width="15.8515625" style="120" customWidth="1"/>
    <col min="9" max="9" width="15.7109375" style="120" customWidth="1"/>
    <col min="10" max="10" width="6.8515625" style="120" customWidth="1"/>
    <col min="11" max="11" width="10.421875" style="120" customWidth="1"/>
    <col min="12" max="16384" width="8.7109375" style="120" customWidth="1"/>
  </cols>
  <sheetData>
    <row r="1" spans="1:9" ht="14.25" customHeight="1">
      <c r="A1" s="266" t="s">
        <v>100</v>
      </c>
      <c r="B1" s="266"/>
      <c r="C1" s="266"/>
      <c r="D1" s="266"/>
      <c r="E1" s="266"/>
      <c r="F1" s="121"/>
      <c r="G1" s="121"/>
      <c r="H1" s="121"/>
      <c r="I1" s="121"/>
    </row>
    <row r="2" spans="1:9" ht="14.25" customHeight="1">
      <c r="A2" s="122"/>
      <c r="B2" s="122"/>
      <c r="C2" s="122"/>
      <c r="D2" s="122"/>
      <c r="E2" s="122"/>
      <c r="F2" s="122"/>
      <c r="G2" s="122"/>
      <c r="H2" s="122"/>
      <c r="I2" s="122"/>
    </row>
    <row r="3" spans="1:20" ht="14.25" customHeight="1">
      <c r="A3" s="75"/>
      <c r="B3" s="123"/>
      <c r="C3" s="123"/>
      <c r="D3" s="123"/>
      <c r="E3" s="123"/>
      <c r="F3" s="123"/>
      <c r="G3" s="123"/>
      <c r="H3" s="123"/>
      <c r="I3" s="124"/>
      <c r="J3" s="125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4.25" customHeight="1">
      <c r="A4" s="126" t="s">
        <v>101</v>
      </c>
      <c r="B4" s="127"/>
      <c r="C4" s="123"/>
      <c r="D4" s="123"/>
      <c r="E4" s="123"/>
      <c r="F4" s="123"/>
      <c r="G4" s="123"/>
      <c r="H4" s="123"/>
      <c r="I4" s="125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4.25" customHeight="1">
      <c r="A5" s="128" t="s">
        <v>102</v>
      </c>
      <c r="B5" s="129">
        <v>60</v>
      </c>
      <c r="C5" s="123"/>
      <c r="G5" s="123"/>
      <c r="H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t="14.25" customHeight="1">
      <c r="A6" s="130" t="s">
        <v>103</v>
      </c>
      <c r="B6" s="131">
        <f>'Program Budget'!B13</f>
        <v>7.5</v>
      </c>
      <c r="C6" s="123"/>
      <c r="G6" s="132"/>
      <c r="H6" s="132"/>
      <c r="I6" s="125"/>
      <c r="J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14.25" customHeight="1">
      <c r="A7" s="128" t="s">
        <v>104</v>
      </c>
      <c r="B7" s="133">
        <f>B11/B6</f>
        <v>6.4</v>
      </c>
      <c r="C7" s="123"/>
      <c r="G7" s="123"/>
      <c r="H7" s="123"/>
      <c r="I7" s="125"/>
      <c r="J7" s="123" t="s">
        <v>105</v>
      </c>
      <c r="L7" s="123"/>
      <c r="M7" s="123"/>
      <c r="N7" s="123"/>
      <c r="O7" s="123"/>
      <c r="P7" s="123"/>
      <c r="Q7" s="123"/>
      <c r="R7" s="123"/>
      <c r="S7" s="123"/>
      <c r="T7" s="123"/>
    </row>
    <row r="8" spans="1:20" ht="14.25" customHeight="1">
      <c r="A8" s="128" t="s">
        <v>106</v>
      </c>
      <c r="B8" s="134">
        <v>1</v>
      </c>
      <c r="C8" s="123"/>
      <c r="G8" s="123"/>
      <c r="H8" s="123"/>
      <c r="I8" s="125"/>
      <c r="J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14.25" customHeight="1">
      <c r="A9" s="128" t="s">
        <v>107</v>
      </c>
      <c r="B9" s="135">
        <v>1.5</v>
      </c>
      <c r="C9" s="123"/>
      <c r="G9" s="136"/>
      <c r="H9" s="123"/>
      <c r="I9" s="125"/>
      <c r="J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14.25" customHeight="1">
      <c r="A10" s="128" t="s">
        <v>108</v>
      </c>
      <c r="B10" s="134">
        <v>10</v>
      </c>
      <c r="C10" s="123"/>
      <c r="G10" s="123"/>
      <c r="H10" s="123"/>
      <c r="I10" s="125"/>
      <c r="J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14.25" customHeight="1">
      <c r="A11" s="137" t="s">
        <v>109</v>
      </c>
      <c r="B11" s="138">
        <v>48</v>
      </c>
      <c r="C11" s="123"/>
      <c r="G11" s="123"/>
      <c r="H11" s="123"/>
      <c r="I11" s="125"/>
      <c r="J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ht="14.25" customHeight="1">
      <c r="A12" s="139" t="s">
        <v>110</v>
      </c>
      <c r="B12" s="133">
        <f>(365/B5)*B11</f>
        <v>292</v>
      </c>
      <c r="C12" s="123"/>
      <c r="G12" s="123"/>
      <c r="H12" s="123"/>
      <c r="I12" s="125"/>
      <c r="J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ht="14.25" customHeight="1">
      <c r="A13" s="139" t="s">
        <v>111</v>
      </c>
      <c r="B13" s="133">
        <f>B11*365</f>
        <v>17520</v>
      </c>
      <c r="C13" s="123"/>
      <c r="G13" s="123"/>
      <c r="H13" s="123"/>
      <c r="I13" s="125"/>
      <c r="J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0" ht="14.25" customHeight="1">
      <c r="A14" s="137" t="s">
        <v>112</v>
      </c>
      <c r="B14" s="140">
        <v>2</v>
      </c>
      <c r="C14" s="123"/>
      <c r="D14" s="141"/>
      <c r="F14" s="142"/>
      <c r="G14" s="123"/>
      <c r="H14" s="123"/>
      <c r="I14" s="125"/>
      <c r="J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0" ht="14.25" customHeight="1">
      <c r="A15" s="143" t="s">
        <v>113</v>
      </c>
      <c r="B15" s="144">
        <v>52</v>
      </c>
      <c r="C15" s="123"/>
      <c r="G15" s="123"/>
      <c r="H15" s="123"/>
      <c r="I15" s="123"/>
      <c r="J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7:20" ht="14.25" customHeight="1">
      <c r="G16" s="123"/>
      <c r="H16" s="123"/>
      <c r="I16" s="123"/>
      <c r="J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1:9" ht="14.25" customHeight="1">
      <c r="A17" s="122"/>
      <c r="B17" s="122"/>
      <c r="C17" s="122"/>
      <c r="G17" s="122"/>
      <c r="H17" s="122"/>
      <c r="I17" s="122"/>
    </row>
    <row r="18" spans="1:9" ht="14.25" customHeight="1">
      <c r="A18" s="267"/>
      <c r="B18" s="267"/>
      <c r="C18" s="267"/>
      <c r="D18" s="267"/>
      <c r="E18" s="267"/>
      <c r="F18" s="267"/>
      <c r="G18" s="267"/>
      <c r="H18" s="267"/>
      <c r="I18" s="267"/>
    </row>
    <row r="19" ht="14.25" customHeight="1">
      <c r="A19" s="145" t="s">
        <v>114</v>
      </c>
    </row>
    <row r="20" spans="1:5" ht="14.25" customHeight="1">
      <c r="A20" s="146" t="s">
        <v>115</v>
      </c>
      <c r="B20" s="147" t="s">
        <v>116</v>
      </c>
      <c r="C20" s="148" t="s">
        <v>117</v>
      </c>
      <c r="D20" s="148" t="s">
        <v>118</v>
      </c>
      <c r="E20" s="149" t="s">
        <v>119</v>
      </c>
    </row>
    <row r="21" spans="1:5" s="154" customFormat="1" ht="54" customHeight="1">
      <c r="A21" s="150" t="s">
        <v>120</v>
      </c>
      <c r="B21" s="151" t="s">
        <v>121</v>
      </c>
      <c r="C21" s="152" t="s">
        <v>122</v>
      </c>
      <c r="D21" s="152" t="s">
        <v>123</v>
      </c>
      <c r="E21" s="153" t="s">
        <v>124</v>
      </c>
    </row>
    <row r="22" spans="1:20" s="160" customFormat="1" ht="14.25" customHeight="1">
      <c r="A22" s="155" t="s">
        <v>125</v>
      </c>
      <c r="B22" s="156">
        <f>'Billable Service Model'!B22</f>
        <v>60</v>
      </c>
      <c r="C22" s="157">
        <f>B13</f>
        <v>17520</v>
      </c>
      <c r="D22" s="158">
        <f>'Billable Service Model'!B23</f>
        <v>6556.8</v>
      </c>
      <c r="E22" s="159">
        <f>D22*$B$12</f>
        <v>1914585.6</v>
      </c>
      <c r="J22" s="161"/>
      <c r="K22" s="125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s="160" customFormat="1" ht="14.25" customHeight="1">
      <c r="A23" s="155" t="s">
        <v>49</v>
      </c>
      <c r="B23" s="156">
        <f>'Billable Service Model'!C22</f>
        <v>60</v>
      </c>
      <c r="C23" s="157">
        <f>B13</f>
        <v>17520</v>
      </c>
      <c r="D23" s="162">
        <f>'Billable Service Model'!C23</f>
        <v>2817.6</v>
      </c>
      <c r="E23" s="159">
        <f>D23*$B$12</f>
        <v>822739.2</v>
      </c>
      <c r="J23" s="161"/>
      <c r="K23" s="125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ht="14.25" customHeight="1">
      <c r="A24" s="155" t="s">
        <v>126</v>
      </c>
      <c r="B24" s="156">
        <f>'Billable Service Model'!D22</f>
        <v>62</v>
      </c>
      <c r="C24" s="157">
        <f>B24*B12</f>
        <v>18104</v>
      </c>
      <c r="D24" s="158">
        <f>'Billable Service Model'!D23</f>
        <v>2097.46</v>
      </c>
      <c r="E24" s="163">
        <f>D24*$B$12</f>
        <v>612458.3200000001</v>
      </c>
      <c r="J24" s="161"/>
      <c r="K24" s="125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s="160" customFormat="1" ht="14.25" customHeight="1">
      <c r="A25" s="164"/>
      <c r="B25" s="165"/>
      <c r="C25" s="165"/>
      <c r="D25" s="165"/>
      <c r="E25" s="166"/>
      <c r="J25" s="161"/>
      <c r="K25" s="125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14.25" customHeight="1">
      <c r="A26" s="167" t="s">
        <v>27</v>
      </c>
      <c r="B26" s="168">
        <f>SUM(B22:B25)</f>
        <v>182</v>
      </c>
      <c r="C26" s="168">
        <f>SUM(C22:C25)</f>
        <v>53144</v>
      </c>
      <c r="D26" s="169">
        <f>SUM(D22:D25)</f>
        <v>11471.86</v>
      </c>
      <c r="E26" s="170">
        <f>SUM(E22:E25)</f>
        <v>3349783.12</v>
      </c>
      <c r="J26" s="161"/>
      <c r="K26" s="125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0:20" ht="14.25" customHeight="1">
      <c r="J27" s="161"/>
      <c r="K27" s="125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ht="14.25" customHeight="1">
      <c r="A28" s="171"/>
      <c r="B28" s="172"/>
      <c r="C28" s="172"/>
      <c r="D28" s="173"/>
      <c r="E28" s="173"/>
      <c r="F28" s="173"/>
      <c r="G28" s="173"/>
      <c r="H28" s="173"/>
      <c r="I28" s="174"/>
      <c r="K28" s="125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ht="14.25" customHeight="1">
      <c r="A29" s="171" t="s">
        <v>127</v>
      </c>
      <c r="B29" s="172"/>
      <c r="C29" s="172"/>
      <c r="D29" s="173"/>
      <c r="E29" s="173"/>
      <c r="F29" s="173"/>
      <c r="G29" s="173"/>
      <c r="H29" s="173"/>
      <c r="J29" s="175"/>
      <c r="K29" s="125"/>
      <c r="L29" s="123"/>
      <c r="M29" s="123"/>
      <c r="N29" s="123"/>
      <c r="O29" s="123"/>
      <c r="P29" s="123"/>
      <c r="Q29" s="123"/>
      <c r="R29" s="123"/>
      <c r="S29" s="123"/>
      <c r="T29" s="123"/>
    </row>
    <row r="30" spans="1:20" ht="14.25" customHeight="1">
      <c r="A30" s="176" t="s">
        <v>128</v>
      </c>
      <c r="B30" s="177">
        <f>B14*(B11*(365/B5))</f>
        <v>584</v>
      </c>
      <c r="C30" s="178" t="s">
        <v>129</v>
      </c>
      <c r="D30" s="173"/>
      <c r="E30" s="179">
        <f>-B30*('Billable Service Model'!B7+'Billable Service Model'!C7)</f>
        <v>-91244.16</v>
      </c>
      <c r="F30" s="173"/>
      <c r="G30" s="173"/>
      <c r="H30" s="173"/>
      <c r="J30" s="117"/>
      <c r="K30" s="180"/>
      <c r="L30" s="123"/>
      <c r="M30" s="123"/>
      <c r="N30" s="123"/>
      <c r="O30" s="123"/>
      <c r="P30" s="123"/>
      <c r="Q30" s="123"/>
      <c r="R30" s="123"/>
      <c r="S30" s="123"/>
      <c r="T30" s="123"/>
    </row>
    <row r="31" spans="1:20" ht="14.25" customHeight="1">
      <c r="A31" s="176" t="s">
        <v>130</v>
      </c>
      <c r="B31" s="181">
        <v>0.1</v>
      </c>
      <c r="C31" s="178" t="s">
        <v>129</v>
      </c>
      <c r="D31" s="173"/>
      <c r="E31" s="182">
        <f>E26*-B31</f>
        <v>-334978.31200000003</v>
      </c>
      <c r="F31" s="173"/>
      <c r="G31" s="173"/>
      <c r="H31" s="173"/>
      <c r="K31" s="125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ht="14.25" customHeight="1">
      <c r="A32" s="109"/>
      <c r="C32" s="172"/>
      <c r="D32" s="173"/>
      <c r="E32" s="183"/>
      <c r="F32" s="173"/>
      <c r="G32" s="173"/>
      <c r="H32" s="173"/>
      <c r="K32" s="125"/>
      <c r="L32" s="123"/>
      <c r="M32" s="123"/>
      <c r="N32" s="123"/>
      <c r="O32" s="123"/>
      <c r="P32" s="123"/>
      <c r="Q32" s="123"/>
      <c r="R32" s="123"/>
      <c r="S32" s="123"/>
      <c r="T32" s="123"/>
    </row>
    <row r="33" spans="1:20" ht="14.25" customHeight="1">
      <c r="A33" s="176" t="s">
        <v>131</v>
      </c>
      <c r="B33" s="178" t="s">
        <v>132</v>
      </c>
      <c r="C33" s="172"/>
      <c r="D33" s="173"/>
      <c r="E33" s="184">
        <f>E26+E30+E31</f>
        <v>2923560.648</v>
      </c>
      <c r="F33" s="173"/>
      <c r="G33" s="173"/>
      <c r="H33" s="173"/>
      <c r="K33" s="125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20" ht="14.25" customHeight="1">
      <c r="A34" s="176"/>
      <c r="B34" s="123"/>
      <c r="C34" s="123"/>
      <c r="D34" s="123"/>
      <c r="E34" s="185"/>
      <c r="F34" s="123"/>
      <c r="G34" s="123"/>
      <c r="H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1:20" ht="14.25" customHeight="1">
      <c r="A35" s="176" t="s">
        <v>133</v>
      </c>
      <c r="B35" s="178" t="s">
        <v>132</v>
      </c>
      <c r="C35" s="123"/>
      <c r="D35" s="123"/>
      <c r="E35" s="113">
        <f>'Program Budget'!B51</f>
        <v>2749872.1936</v>
      </c>
      <c r="F35" s="123"/>
      <c r="G35" s="123"/>
      <c r="H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 ht="14.25" customHeight="1">
      <c r="A36" s="186" t="s">
        <v>134</v>
      </c>
      <c r="B36" s="178" t="s">
        <v>132</v>
      </c>
      <c r="C36" s="123"/>
      <c r="D36" s="123"/>
      <c r="E36" s="187">
        <f>E33-E35</f>
        <v>173688.45440000016</v>
      </c>
      <c r="F36" s="123"/>
      <c r="G36" s="123"/>
      <c r="H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8" ht="14.25" customHeight="1">
      <c r="A38" s="145" t="s">
        <v>135</v>
      </c>
    </row>
    <row r="39" spans="1:2" ht="28.5" customHeight="1">
      <c r="A39" s="268" t="s">
        <v>136</v>
      </c>
      <c r="B39" s="268"/>
    </row>
    <row r="40" spans="1:2" ht="51" customHeight="1">
      <c r="A40" s="268" t="s">
        <v>137</v>
      </c>
      <c r="B40" s="268"/>
    </row>
  </sheetData>
  <sheetProtection selectLockedCells="1" selectUnlockedCells="1"/>
  <mergeCells count="4">
    <mergeCell ref="A1:E1"/>
    <mergeCell ref="A18:I18"/>
    <mergeCell ref="A39:B39"/>
    <mergeCell ref="A40:B40"/>
  </mergeCells>
  <conditionalFormatting sqref="E36">
    <cfRule type="cellIs" priority="1" dxfId="0" operator="greaterThan" stopIfTrue="1">
      <formula>0</formula>
    </cfRule>
    <cfRule type="cellIs" priority="2" dxfId="3" operator="lessThan" stopIfTrue="1">
      <formula>0</formula>
    </cfRule>
  </conditionalFormatting>
  <conditionalFormatting sqref="E30">
    <cfRule type="cellIs" priority="3" dxfId="2" operator="lessThan" stopIfTrue="1">
      <formula>0</formula>
    </cfRule>
  </conditionalFormatting>
  <printOptions horizontalCentered="1"/>
  <pageMargins left="0.5" right="0.5" top="0.5" bottom="0.5" header="0.5118055555555555" footer="0.5118055555555555"/>
  <pageSetup fitToHeight="0" fitToWidth="1" horizontalDpi="300" verticalDpi="300" orientation="landscape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J27" sqref="J27"/>
    </sheetView>
  </sheetViews>
  <sheetFormatPr defaultColWidth="8.28125" defaultRowHeight="12.75"/>
  <cols>
    <col min="1" max="2" width="14.421875" style="75" customWidth="1"/>
    <col min="3" max="3" width="11.7109375" style="75" customWidth="1"/>
    <col min="4" max="15" width="10.7109375" style="75" customWidth="1"/>
    <col min="16" max="16" width="12.28125" style="75" customWidth="1"/>
    <col min="17" max="17" width="10.7109375" style="75" customWidth="1"/>
    <col min="18" max="16384" width="8.28125" style="76" customWidth="1"/>
  </cols>
  <sheetData>
    <row r="1" spans="1:17" ht="23.25" customHeight="1">
      <c r="A1" s="269" t="s">
        <v>138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23.25" customHeight="1">
      <c r="A2" s="270" t="s">
        <v>191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17" ht="15">
      <c r="A3" s="271" t="s">
        <v>139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7" ht="12.75" customHeight="1">
      <c r="A4" s="79" t="s">
        <v>71</v>
      </c>
      <c r="B4" s="80" t="s">
        <v>140</v>
      </c>
      <c r="C4" s="80" t="s">
        <v>141</v>
      </c>
      <c r="D4" s="80" t="s">
        <v>142</v>
      </c>
      <c r="E4" s="80" t="s">
        <v>143</v>
      </c>
      <c r="F4" s="80" t="s">
        <v>144</v>
      </c>
      <c r="G4" s="80" t="s">
        <v>145</v>
      </c>
      <c r="H4" s="80" t="s">
        <v>146</v>
      </c>
      <c r="I4" s="80" t="s">
        <v>147</v>
      </c>
      <c r="J4" s="80" t="s">
        <v>148</v>
      </c>
      <c r="K4" s="80" t="s">
        <v>149</v>
      </c>
      <c r="L4" s="80" t="s">
        <v>150</v>
      </c>
      <c r="M4" s="80" t="s">
        <v>151</v>
      </c>
      <c r="N4" s="80" t="s">
        <v>152</v>
      </c>
      <c r="O4" s="81" t="s">
        <v>153</v>
      </c>
      <c r="P4" s="272" t="s">
        <v>154</v>
      </c>
      <c r="Q4" s="265" t="s">
        <v>155</v>
      </c>
    </row>
    <row r="5" spans="1:17" ht="14.25">
      <c r="A5" s="82" t="s">
        <v>77</v>
      </c>
      <c r="B5" s="83" t="s">
        <v>156</v>
      </c>
      <c r="C5" s="83" t="s">
        <v>157</v>
      </c>
      <c r="D5" s="83" t="s">
        <v>158</v>
      </c>
      <c r="E5" s="83">
        <v>90846</v>
      </c>
      <c r="F5" s="83" t="s">
        <v>159</v>
      </c>
      <c r="G5" s="83" t="s">
        <v>160</v>
      </c>
      <c r="H5" s="83" t="s">
        <v>161</v>
      </c>
      <c r="I5" s="83" t="s">
        <v>162</v>
      </c>
      <c r="J5" s="83">
        <v>90846</v>
      </c>
      <c r="K5" s="83" t="s">
        <v>163</v>
      </c>
      <c r="L5" s="83" t="s">
        <v>164</v>
      </c>
      <c r="M5" s="83" t="s">
        <v>165</v>
      </c>
      <c r="N5" s="83" t="s">
        <v>166</v>
      </c>
      <c r="O5" s="84" t="s">
        <v>167</v>
      </c>
      <c r="P5" s="272"/>
      <c r="Q5" s="265"/>
    </row>
    <row r="6" spans="1:17" ht="27">
      <c r="A6" s="82" t="s">
        <v>81</v>
      </c>
      <c r="B6" s="188">
        <v>4</v>
      </c>
      <c r="C6" s="83">
        <v>4</v>
      </c>
      <c r="D6" s="83">
        <v>4</v>
      </c>
      <c r="E6" s="83">
        <v>4</v>
      </c>
      <c r="F6" s="83">
        <v>6</v>
      </c>
      <c r="G6" s="83">
        <v>6</v>
      </c>
      <c r="H6" s="83">
        <v>4</v>
      </c>
      <c r="I6" s="83">
        <v>4</v>
      </c>
      <c r="J6" s="83">
        <v>6</v>
      </c>
      <c r="K6" s="83">
        <v>4</v>
      </c>
      <c r="L6" s="83">
        <v>2</v>
      </c>
      <c r="M6" s="83">
        <v>4</v>
      </c>
      <c r="N6" s="83">
        <v>1</v>
      </c>
      <c r="O6" s="84">
        <v>4</v>
      </c>
      <c r="P6" s="272"/>
      <c r="Q6" s="265"/>
    </row>
    <row r="7" spans="1:17" ht="14.25">
      <c r="A7" s="85" t="s">
        <v>82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  <c r="P7" s="272"/>
      <c r="Q7" s="265"/>
    </row>
    <row r="8" spans="1:17" ht="14.25">
      <c r="A8" s="88" t="s">
        <v>83</v>
      </c>
      <c r="B8" s="191"/>
      <c r="C8" s="191">
        <v>8</v>
      </c>
      <c r="D8" s="191">
        <v>8</v>
      </c>
      <c r="E8" s="191"/>
      <c r="F8" s="192">
        <v>48</v>
      </c>
      <c r="G8" s="192">
        <v>6</v>
      </c>
      <c r="H8" s="192">
        <v>8</v>
      </c>
      <c r="I8" s="191"/>
      <c r="J8" s="191"/>
      <c r="K8" s="191"/>
      <c r="L8" s="191"/>
      <c r="M8" s="191"/>
      <c r="N8" s="191">
        <v>2</v>
      </c>
      <c r="O8" s="91"/>
      <c r="P8" s="193">
        <f aca="true" t="shared" si="0" ref="P8:P14">SUM(B8:O8)</f>
        <v>80</v>
      </c>
      <c r="Q8" s="92">
        <f aca="true" t="shared" si="1" ref="Q8:Q14">P8/4</f>
        <v>20</v>
      </c>
    </row>
    <row r="9" spans="1:17" ht="14.25">
      <c r="A9" s="88" t="s">
        <v>84</v>
      </c>
      <c r="B9" s="194"/>
      <c r="C9" s="194"/>
      <c r="D9" s="194">
        <v>4</v>
      </c>
      <c r="E9" s="194"/>
      <c r="F9" s="195">
        <v>56</v>
      </c>
      <c r="G9" s="195">
        <v>6</v>
      </c>
      <c r="H9" s="195">
        <v>8</v>
      </c>
      <c r="I9" s="194"/>
      <c r="J9" s="194"/>
      <c r="K9" s="194">
        <v>4</v>
      </c>
      <c r="L9" s="194"/>
      <c r="M9" s="194"/>
      <c r="N9" s="194">
        <v>2</v>
      </c>
      <c r="O9" s="95"/>
      <c r="P9" s="196">
        <f t="shared" si="0"/>
        <v>80</v>
      </c>
      <c r="Q9" s="96">
        <f t="shared" si="1"/>
        <v>20</v>
      </c>
    </row>
    <row r="10" spans="1:17" ht="14.25">
      <c r="A10" s="88" t="s">
        <v>85</v>
      </c>
      <c r="B10" s="194"/>
      <c r="C10" s="194"/>
      <c r="D10" s="194"/>
      <c r="E10" s="194"/>
      <c r="F10" s="195">
        <v>64</v>
      </c>
      <c r="G10" s="195">
        <v>6</v>
      </c>
      <c r="H10" s="195">
        <v>8</v>
      </c>
      <c r="I10" s="194"/>
      <c r="J10" s="194"/>
      <c r="K10" s="194"/>
      <c r="L10" s="194"/>
      <c r="M10" s="194"/>
      <c r="N10" s="194">
        <v>2</v>
      </c>
      <c r="O10" s="95"/>
      <c r="P10" s="196">
        <f t="shared" si="0"/>
        <v>80</v>
      </c>
      <c r="Q10" s="96">
        <f t="shared" si="1"/>
        <v>20</v>
      </c>
    </row>
    <row r="11" spans="1:17" ht="14.25">
      <c r="A11" s="88" t="s">
        <v>86</v>
      </c>
      <c r="B11" s="194"/>
      <c r="C11" s="194"/>
      <c r="D11" s="194"/>
      <c r="E11" s="194"/>
      <c r="F11" s="195">
        <v>60</v>
      </c>
      <c r="G11" s="195">
        <v>6</v>
      </c>
      <c r="H11" s="195">
        <v>4</v>
      </c>
      <c r="I11" s="194">
        <v>4</v>
      </c>
      <c r="J11" s="194"/>
      <c r="K11" s="194">
        <v>4</v>
      </c>
      <c r="L11" s="194"/>
      <c r="M11" s="194"/>
      <c r="N11" s="194">
        <v>2</v>
      </c>
      <c r="O11" s="95"/>
      <c r="P11" s="196">
        <f t="shared" si="0"/>
        <v>80</v>
      </c>
      <c r="Q11" s="96">
        <f t="shared" si="1"/>
        <v>20</v>
      </c>
    </row>
    <row r="12" spans="1:17" ht="14.25">
      <c r="A12" s="88" t="s">
        <v>87</v>
      </c>
      <c r="B12" s="197"/>
      <c r="C12" s="197"/>
      <c r="D12" s="197"/>
      <c r="E12" s="197"/>
      <c r="F12" s="198">
        <v>72</v>
      </c>
      <c r="G12" s="198"/>
      <c r="H12" s="198">
        <v>4</v>
      </c>
      <c r="I12" s="197"/>
      <c r="J12" s="197"/>
      <c r="K12" s="197"/>
      <c r="L12" s="197"/>
      <c r="M12" s="197"/>
      <c r="N12" s="197"/>
      <c r="O12" s="98">
        <v>4</v>
      </c>
      <c r="P12" s="199">
        <f t="shared" si="0"/>
        <v>80</v>
      </c>
      <c r="Q12" s="99">
        <f t="shared" si="1"/>
        <v>20</v>
      </c>
    </row>
    <row r="13" spans="1:17" ht="14.25">
      <c r="A13" s="88" t="s">
        <v>88</v>
      </c>
      <c r="B13" s="194"/>
      <c r="C13" s="194"/>
      <c r="D13" s="194"/>
      <c r="E13" s="194"/>
      <c r="F13" s="195">
        <v>80</v>
      </c>
      <c r="G13" s="195"/>
      <c r="H13" s="195"/>
      <c r="I13" s="194"/>
      <c r="J13" s="194"/>
      <c r="K13" s="194"/>
      <c r="L13" s="194"/>
      <c r="M13" s="194"/>
      <c r="N13" s="194"/>
      <c r="O13" s="95"/>
      <c r="P13" s="196">
        <f t="shared" si="0"/>
        <v>80</v>
      </c>
      <c r="Q13" s="96">
        <f t="shared" si="1"/>
        <v>20</v>
      </c>
    </row>
    <row r="14" spans="1:17" ht="14.25">
      <c r="A14" s="88" t="s">
        <v>89</v>
      </c>
      <c r="B14" s="194"/>
      <c r="C14" s="194"/>
      <c r="D14" s="194"/>
      <c r="E14" s="194"/>
      <c r="F14" s="195">
        <v>76</v>
      </c>
      <c r="G14" s="195"/>
      <c r="H14" s="195"/>
      <c r="I14" s="194"/>
      <c r="J14" s="194"/>
      <c r="K14" s="194"/>
      <c r="L14" s="194"/>
      <c r="M14" s="194"/>
      <c r="N14" s="194"/>
      <c r="O14" s="95">
        <v>4</v>
      </c>
      <c r="P14" s="196">
        <f t="shared" si="0"/>
        <v>80</v>
      </c>
      <c r="Q14" s="96">
        <f t="shared" si="1"/>
        <v>20</v>
      </c>
    </row>
    <row r="15" spans="1:17" ht="14.25">
      <c r="A15" s="88" t="s">
        <v>90</v>
      </c>
      <c r="B15" s="194"/>
      <c r="C15" s="194"/>
      <c r="D15" s="194"/>
      <c r="E15" s="194"/>
      <c r="F15" s="195">
        <v>76</v>
      </c>
      <c r="G15" s="195"/>
      <c r="H15" s="195"/>
      <c r="I15" s="194"/>
      <c r="J15" s="194"/>
      <c r="K15" s="194"/>
      <c r="L15" s="194"/>
      <c r="M15" s="194"/>
      <c r="N15" s="194"/>
      <c r="O15" s="95">
        <v>4</v>
      </c>
      <c r="P15" s="196">
        <f aca="true" t="shared" si="2" ref="P15:P20">SUM(B15:O15)</f>
        <v>80</v>
      </c>
      <c r="Q15" s="96">
        <f aca="true" t="shared" si="3" ref="Q15:Q20">P15/4</f>
        <v>20</v>
      </c>
    </row>
    <row r="16" spans="1:17" ht="14.25">
      <c r="A16" s="88" t="s">
        <v>91</v>
      </c>
      <c r="B16" s="194"/>
      <c r="C16" s="194"/>
      <c r="D16" s="194"/>
      <c r="E16" s="194"/>
      <c r="F16" s="195">
        <v>40</v>
      </c>
      <c r="G16" s="195"/>
      <c r="H16" s="195"/>
      <c r="I16" s="194"/>
      <c r="J16" s="194"/>
      <c r="K16" s="194"/>
      <c r="L16" s="194"/>
      <c r="M16" s="194"/>
      <c r="N16" s="194"/>
      <c r="O16" s="98">
        <v>8</v>
      </c>
      <c r="P16" s="196">
        <f t="shared" si="2"/>
        <v>48</v>
      </c>
      <c r="Q16" s="96">
        <f t="shared" si="3"/>
        <v>12</v>
      </c>
    </row>
    <row r="17" spans="1:17" ht="14.25">
      <c r="A17" s="88" t="s">
        <v>92</v>
      </c>
      <c r="B17" s="194"/>
      <c r="C17" s="194"/>
      <c r="D17" s="194"/>
      <c r="E17" s="194"/>
      <c r="F17" s="195"/>
      <c r="G17" s="195"/>
      <c r="H17" s="195"/>
      <c r="I17" s="194"/>
      <c r="J17" s="194"/>
      <c r="K17" s="194"/>
      <c r="L17" s="194"/>
      <c r="M17" s="194"/>
      <c r="N17" s="194"/>
      <c r="O17" s="95"/>
      <c r="P17" s="196">
        <f t="shared" si="2"/>
        <v>0</v>
      </c>
      <c r="Q17" s="96">
        <f t="shared" si="3"/>
        <v>0</v>
      </c>
    </row>
    <row r="18" spans="1:17" ht="14.25">
      <c r="A18" s="88" t="s">
        <v>93</v>
      </c>
      <c r="B18" s="194"/>
      <c r="C18" s="194"/>
      <c r="D18" s="194"/>
      <c r="E18" s="194"/>
      <c r="F18" s="195"/>
      <c r="G18" s="195"/>
      <c r="H18" s="195"/>
      <c r="I18" s="194"/>
      <c r="J18" s="194"/>
      <c r="K18" s="194"/>
      <c r="L18" s="194"/>
      <c r="M18" s="194"/>
      <c r="N18" s="194"/>
      <c r="O18" s="95"/>
      <c r="P18" s="196">
        <f t="shared" si="2"/>
        <v>0</v>
      </c>
      <c r="Q18" s="96">
        <f t="shared" si="3"/>
        <v>0</v>
      </c>
    </row>
    <row r="19" spans="1:17" ht="14.25">
      <c r="A19" s="88" t="s">
        <v>94</v>
      </c>
      <c r="B19" s="194"/>
      <c r="C19" s="194"/>
      <c r="D19" s="194"/>
      <c r="E19" s="194"/>
      <c r="F19" s="195"/>
      <c r="G19" s="195"/>
      <c r="H19" s="195"/>
      <c r="I19" s="194"/>
      <c r="J19" s="194"/>
      <c r="K19" s="194"/>
      <c r="L19" s="194"/>
      <c r="M19" s="194"/>
      <c r="N19" s="194"/>
      <c r="O19" s="95"/>
      <c r="P19" s="196">
        <f t="shared" si="2"/>
        <v>0</v>
      </c>
      <c r="Q19" s="96">
        <f t="shared" si="3"/>
        <v>0</v>
      </c>
    </row>
    <row r="20" spans="1:17" ht="14.25">
      <c r="A20" s="104" t="s">
        <v>95</v>
      </c>
      <c r="B20" s="200"/>
      <c r="C20" s="200"/>
      <c r="D20" s="200"/>
      <c r="E20" s="200"/>
      <c r="F20" s="201"/>
      <c r="G20" s="201"/>
      <c r="H20" s="201"/>
      <c r="I20" s="200"/>
      <c r="J20" s="200"/>
      <c r="K20" s="200"/>
      <c r="L20" s="200"/>
      <c r="M20" s="200"/>
      <c r="N20" s="200"/>
      <c r="O20" s="107"/>
      <c r="P20" s="202">
        <f t="shared" si="2"/>
        <v>0</v>
      </c>
      <c r="Q20" s="108">
        <f t="shared" si="3"/>
        <v>0</v>
      </c>
    </row>
    <row r="21" ht="14.25">
      <c r="Q21" s="109"/>
    </row>
    <row r="22" spans="1:17" ht="14.25">
      <c r="A22" s="203" t="s">
        <v>96</v>
      </c>
      <c r="B22" s="110">
        <f>SUM(B8:B21)</f>
        <v>0</v>
      </c>
      <c r="C22" s="110">
        <f>SUM(C8:C21)</f>
        <v>8</v>
      </c>
      <c r="D22" s="110">
        <f>SUM(D8:D21)</f>
        <v>12</v>
      </c>
      <c r="E22" s="110"/>
      <c r="F22" s="110">
        <f aca="true" t="shared" si="4" ref="F22:O22">SUM(F8:F21)</f>
        <v>572</v>
      </c>
      <c r="G22" s="110">
        <f t="shared" si="4"/>
        <v>24</v>
      </c>
      <c r="H22" s="110">
        <f t="shared" si="4"/>
        <v>32</v>
      </c>
      <c r="I22" s="110">
        <f t="shared" si="4"/>
        <v>4</v>
      </c>
      <c r="J22" s="110">
        <f t="shared" si="4"/>
        <v>0</v>
      </c>
      <c r="K22" s="110">
        <f t="shared" si="4"/>
        <v>8</v>
      </c>
      <c r="L22" s="110">
        <f t="shared" si="4"/>
        <v>0</v>
      </c>
      <c r="M22" s="110">
        <f t="shared" si="4"/>
        <v>0</v>
      </c>
      <c r="N22" s="110">
        <f t="shared" si="4"/>
        <v>8</v>
      </c>
      <c r="O22" s="110">
        <f t="shared" si="4"/>
        <v>20</v>
      </c>
      <c r="P22" s="116">
        <f>SUM(B22:O22)</f>
        <v>688</v>
      </c>
      <c r="Q22" s="110">
        <f>SUM(B22:O22)</f>
        <v>688</v>
      </c>
    </row>
    <row r="23" spans="1:17" ht="14.25">
      <c r="A23" s="203" t="s">
        <v>98</v>
      </c>
      <c r="B23" s="116">
        <f>B22/B6</f>
        <v>0</v>
      </c>
      <c r="C23" s="116">
        <f>C22/C6</f>
        <v>2</v>
      </c>
      <c r="D23" s="116">
        <f>D22/D6</f>
        <v>3</v>
      </c>
      <c r="E23" s="116"/>
      <c r="F23" s="116">
        <f aca="true" t="shared" si="5" ref="F23:O23">F22/F6</f>
        <v>95.33333333333333</v>
      </c>
      <c r="G23" s="116">
        <f t="shared" si="5"/>
        <v>4</v>
      </c>
      <c r="H23" s="116">
        <f t="shared" si="5"/>
        <v>8</v>
      </c>
      <c r="I23" s="116">
        <f t="shared" si="5"/>
        <v>1</v>
      </c>
      <c r="J23" s="116">
        <f t="shared" si="5"/>
        <v>0</v>
      </c>
      <c r="K23" s="116">
        <f t="shared" si="5"/>
        <v>2</v>
      </c>
      <c r="L23" s="116">
        <f t="shared" si="5"/>
        <v>0</v>
      </c>
      <c r="M23" s="116">
        <f t="shared" si="5"/>
        <v>0</v>
      </c>
      <c r="N23" s="116">
        <f t="shared" si="5"/>
        <v>8</v>
      </c>
      <c r="O23" s="116">
        <f t="shared" si="5"/>
        <v>5</v>
      </c>
      <c r="P23" s="116"/>
      <c r="Q23" s="110">
        <f>SUM(B23:O23)</f>
        <v>128.33333333333331</v>
      </c>
    </row>
    <row r="24" spans="1:17" ht="14.25">
      <c r="A24" s="203" t="s">
        <v>99</v>
      </c>
      <c r="B24" s="118">
        <f>B22/4</f>
        <v>0</v>
      </c>
      <c r="C24" s="118">
        <f>C22/4</f>
        <v>2</v>
      </c>
      <c r="D24" s="118">
        <f>D22/4</f>
        <v>3</v>
      </c>
      <c r="E24" s="118"/>
      <c r="F24" s="118">
        <f aca="true" t="shared" si="6" ref="F24:P24">F22/4</f>
        <v>143</v>
      </c>
      <c r="G24" s="118">
        <f t="shared" si="6"/>
        <v>6</v>
      </c>
      <c r="H24" s="118">
        <f t="shared" si="6"/>
        <v>8</v>
      </c>
      <c r="I24" s="118">
        <f t="shared" si="6"/>
        <v>1</v>
      </c>
      <c r="J24" s="118">
        <f t="shared" si="6"/>
        <v>0</v>
      </c>
      <c r="K24" s="118">
        <f t="shared" si="6"/>
        <v>2</v>
      </c>
      <c r="L24" s="118">
        <f t="shared" si="6"/>
        <v>0</v>
      </c>
      <c r="M24" s="118">
        <f t="shared" si="6"/>
        <v>0</v>
      </c>
      <c r="N24" s="118">
        <f t="shared" si="6"/>
        <v>2</v>
      </c>
      <c r="O24" s="118">
        <f t="shared" si="6"/>
        <v>5</v>
      </c>
      <c r="P24" s="118">
        <f t="shared" si="6"/>
        <v>172</v>
      </c>
      <c r="Q24" s="110">
        <f>SUM(B24:O24)</f>
        <v>172</v>
      </c>
    </row>
    <row r="26" ht="14.25">
      <c r="Q26" s="204"/>
    </row>
  </sheetData>
  <sheetProtection selectLockedCells="1" selectUnlockedCells="1"/>
  <mergeCells count="5">
    <mergeCell ref="A1:Q1"/>
    <mergeCell ref="A2:Q2"/>
    <mergeCell ref="A3:Q3"/>
    <mergeCell ref="P4:P7"/>
    <mergeCell ref="Q4:Q7"/>
  </mergeCells>
  <printOptions/>
  <pageMargins left="0.5" right="0.5" top="0.5" bottom="0.5" header="0.5118055555555555" footer="0.5118055555555555"/>
  <pageSetup fitToHeight="0" fitToWidth="1" horizontalDpi="300" verticalDpi="300" orientation="landscape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5">
      <selection activeCell="G32" sqref="G32"/>
    </sheetView>
  </sheetViews>
  <sheetFormatPr defaultColWidth="8.28125" defaultRowHeight="12.75"/>
  <cols>
    <col min="1" max="1" width="33.7109375" style="76" customWidth="1"/>
    <col min="2" max="3" width="11.7109375" style="76" customWidth="1"/>
    <col min="4" max="5" width="10.00390625" style="76" customWidth="1"/>
    <col min="6" max="6" width="12.28125" style="76" customWidth="1"/>
    <col min="7" max="9" width="10.7109375" style="76" customWidth="1"/>
    <col min="10" max="10" width="8.28125" style="76" customWidth="1"/>
    <col min="11" max="11" width="9.28125" style="76" customWidth="1"/>
    <col min="12" max="16384" width="8.28125" style="76" customWidth="1"/>
  </cols>
  <sheetData>
    <row r="1" spans="1:9" ht="19.5" customHeight="1">
      <c r="A1" s="266" t="s">
        <v>168</v>
      </c>
      <c r="B1" s="266"/>
      <c r="C1" s="266"/>
      <c r="D1" s="266"/>
      <c r="E1" s="266"/>
      <c r="F1" s="266"/>
      <c r="G1" s="266"/>
      <c r="H1" s="266"/>
      <c r="I1" s="266"/>
    </row>
    <row r="2" spans="8:9" ht="14.25">
      <c r="H2" s="205"/>
      <c r="I2" s="205"/>
    </row>
    <row r="3" spans="1:11" ht="15.75" customHeight="1">
      <c r="A3" s="146" t="s">
        <v>115</v>
      </c>
      <c r="B3" s="147" t="s">
        <v>116</v>
      </c>
      <c r="C3" s="147" t="s">
        <v>169</v>
      </c>
      <c r="D3" s="147" t="s">
        <v>170</v>
      </c>
      <c r="E3" s="148" t="s">
        <v>117</v>
      </c>
      <c r="F3" s="148" t="s">
        <v>118</v>
      </c>
      <c r="G3" s="148" t="s">
        <v>119</v>
      </c>
      <c r="H3" s="206" t="s">
        <v>171</v>
      </c>
      <c r="I3" s="207" t="s">
        <v>172</v>
      </c>
      <c r="J3" s="208"/>
      <c r="K3" s="209"/>
    </row>
    <row r="4" spans="1:9" ht="58.5" customHeight="1">
      <c r="A4" s="150" t="s">
        <v>120</v>
      </c>
      <c r="B4" s="151" t="s">
        <v>121</v>
      </c>
      <c r="C4" s="151" t="s">
        <v>173</v>
      </c>
      <c r="D4" s="210" t="s">
        <v>174</v>
      </c>
      <c r="E4" s="152" t="s">
        <v>122</v>
      </c>
      <c r="F4" s="152" t="s">
        <v>175</v>
      </c>
      <c r="G4" s="152" t="s">
        <v>176</v>
      </c>
      <c r="H4" s="211" t="s">
        <v>177</v>
      </c>
      <c r="I4" s="212" t="s">
        <v>178</v>
      </c>
    </row>
    <row r="5" spans="1:9" ht="14.25">
      <c r="A5" s="155" t="s">
        <v>140</v>
      </c>
      <c r="B5" s="156">
        <f>'Required Services Model'!B22</f>
        <v>0</v>
      </c>
      <c r="C5" s="156">
        <f>'Required Services Model'!B23</f>
        <v>0</v>
      </c>
      <c r="D5" s="156">
        <f>'Required Services Model'!B24</f>
        <v>0</v>
      </c>
      <c r="E5" s="157">
        <f>B5*'Revenue Forecast'!$B$12</f>
        <v>0</v>
      </c>
      <c r="F5" s="157">
        <f>C5*'Revenue Forecast'!$B$12</f>
        <v>0</v>
      </c>
      <c r="G5" s="213">
        <f>D5*'Revenue Forecast'!$B$12</f>
        <v>0</v>
      </c>
      <c r="H5" s="157">
        <f>F5/52</f>
        <v>0</v>
      </c>
      <c r="I5" s="214">
        <f>G5/52</f>
        <v>0</v>
      </c>
    </row>
    <row r="6" spans="1:9" ht="14.25">
      <c r="A6" s="155" t="s">
        <v>141</v>
      </c>
      <c r="B6" s="156">
        <f>'Required Services Model'!C22</f>
        <v>8</v>
      </c>
      <c r="C6" s="156">
        <f>'Required Services Model'!C23</f>
        <v>2</v>
      </c>
      <c r="D6" s="156">
        <f>'Required Services Model'!C24</f>
        <v>2</v>
      </c>
      <c r="E6" s="157">
        <f>B6*'Revenue Forecast'!$B$12</f>
        <v>2336</v>
      </c>
      <c r="F6" s="157">
        <f>C6*'Revenue Forecast'!$B$12</f>
        <v>584</v>
      </c>
      <c r="G6" s="213">
        <f>D6*'Revenue Forecast'!$B$12</f>
        <v>584</v>
      </c>
      <c r="H6" s="157">
        <f aca="true" t="shared" si="0" ref="H6:H19">F6/52</f>
        <v>11.23076923076923</v>
      </c>
      <c r="I6" s="214">
        <f aca="true" t="shared" si="1" ref="I6:I19">G6/52</f>
        <v>11.23076923076923</v>
      </c>
    </row>
    <row r="7" spans="1:9" ht="14.25">
      <c r="A7" s="155" t="s">
        <v>142</v>
      </c>
      <c r="B7" s="156">
        <f>'Required Services Model'!D22</f>
        <v>12</v>
      </c>
      <c r="C7" s="156">
        <f>'Required Services Model'!D23</f>
        <v>3</v>
      </c>
      <c r="D7" s="156">
        <f>'Required Services Model'!D24</f>
        <v>3</v>
      </c>
      <c r="E7" s="157">
        <f>B7*'Revenue Forecast'!$B$12</f>
        <v>3504</v>
      </c>
      <c r="F7" s="157">
        <f>C7*'Revenue Forecast'!$B$12</f>
        <v>876</v>
      </c>
      <c r="G7" s="213">
        <f>D7*'Revenue Forecast'!$B$12</f>
        <v>876</v>
      </c>
      <c r="H7" s="157">
        <f t="shared" si="0"/>
        <v>16.846153846153847</v>
      </c>
      <c r="I7" s="214">
        <f t="shared" si="1"/>
        <v>16.846153846153847</v>
      </c>
    </row>
    <row r="8" spans="1:9" ht="14.25">
      <c r="A8" s="155" t="s">
        <v>143</v>
      </c>
      <c r="B8" s="156">
        <f>'Required Services Model'!E22</f>
        <v>0</v>
      </c>
      <c r="C8" s="156">
        <f>'Required Services Model'!E23</f>
        <v>0</v>
      </c>
      <c r="D8" s="156">
        <f>'Required Services Model'!E24</f>
        <v>0</v>
      </c>
      <c r="E8" s="157">
        <f>B8*'Revenue Forecast'!$B$12</f>
        <v>0</v>
      </c>
      <c r="F8" s="157">
        <f>C8*'Revenue Forecast'!$B$12</f>
        <v>0</v>
      </c>
      <c r="G8" s="213">
        <f>D8*'Revenue Forecast'!$B$12</f>
        <v>0</v>
      </c>
      <c r="H8" s="157">
        <f t="shared" si="0"/>
        <v>0</v>
      </c>
      <c r="I8" s="214">
        <f t="shared" si="1"/>
        <v>0</v>
      </c>
    </row>
    <row r="9" spans="1:11" ht="14.25">
      <c r="A9" s="155" t="s">
        <v>144</v>
      </c>
      <c r="B9" s="156">
        <f>'Required Services Model'!F22</f>
        <v>572</v>
      </c>
      <c r="C9" s="215">
        <f>'Required Services Model'!F23</f>
        <v>95.33333333333333</v>
      </c>
      <c r="D9" s="156">
        <f>'Required Services Model'!F24</f>
        <v>143</v>
      </c>
      <c r="E9" s="157">
        <f>B9*'Revenue Forecast'!$B$12</f>
        <v>167024</v>
      </c>
      <c r="F9" s="157">
        <f>(C9*'Revenue Forecast'!$B$12)/'Revenue Forecast'!B10</f>
        <v>2783.733333333333</v>
      </c>
      <c r="G9" s="213">
        <f>ROUND(F9*'Revenue Forecast'!B9,0)</f>
        <v>4176</v>
      </c>
      <c r="H9" s="157">
        <f t="shared" si="0"/>
        <v>53.53333333333333</v>
      </c>
      <c r="I9" s="214">
        <f t="shared" si="1"/>
        <v>80.3076923076923</v>
      </c>
      <c r="K9" s="141"/>
    </row>
    <row r="10" spans="1:11" ht="14.25">
      <c r="A10" s="155" t="s">
        <v>145</v>
      </c>
      <c r="B10" s="156">
        <f>'Required Services Model'!G22</f>
        <v>24</v>
      </c>
      <c r="C10" s="156">
        <f>'Required Services Model'!G23</f>
        <v>4</v>
      </c>
      <c r="D10" s="156">
        <f>'Required Services Model'!G24</f>
        <v>6</v>
      </c>
      <c r="E10" s="157">
        <f>B10*'Revenue Forecast'!$B$12</f>
        <v>7008</v>
      </c>
      <c r="F10" s="157">
        <f>C10*'Revenue Forecast'!$B$12</f>
        <v>1168</v>
      </c>
      <c r="G10" s="213">
        <f>D10*'Revenue Forecast'!$B$12</f>
        <v>1752</v>
      </c>
      <c r="H10" s="157">
        <f t="shared" si="0"/>
        <v>22.46153846153846</v>
      </c>
      <c r="I10" s="214">
        <f t="shared" si="1"/>
        <v>33.69230769230769</v>
      </c>
      <c r="K10" s="141"/>
    </row>
    <row r="11" spans="1:9" ht="14.25">
      <c r="A11" s="155" t="s">
        <v>146</v>
      </c>
      <c r="B11" s="156">
        <f>'Required Services Model'!H22</f>
        <v>32</v>
      </c>
      <c r="C11" s="156">
        <f>'Required Services Model'!H23</f>
        <v>8</v>
      </c>
      <c r="D11" s="156">
        <f>'Required Services Model'!H24</f>
        <v>8</v>
      </c>
      <c r="E11" s="157">
        <f>B11*'Revenue Forecast'!$B$12</f>
        <v>9344</v>
      </c>
      <c r="F11" s="157">
        <f>C11*'Revenue Forecast'!$B$12</f>
        <v>2336</v>
      </c>
      <c r="G11" s="213">
        <f>D11*'Revenue Forecast'!$B$12</f>
        <v>2336</v>
      </c>
      <c r="H11" s="157">
        <f t="shared" si="0"/>
        <v>44.92307692307692</v>
      </c>
      <c r="I11" s="214">
        <f t="shared" si="1"/>
        <v>44.92307692307692</v>
      </c>
    </row>
    <row r="12" spans="1:9" ht="14.25">
      <c r="A12" s="155" t="s">
        <v>147</v>
      </c>
      <c r="B12" s="156">
        <f>'Required Services Model'!I22</f>
        <v>4</v>
      </c>
      <c r="C12" s="156">
        <f>'Required Services Model'!I23</f>
        <v>1</v>
      </c>
      <c r="D12" s="156">
        <f>'Required Services Model'!I24</f>
        <v>1</v>
      </c>
      <c r="E12" s="157">
        <f>B12*'Revenue Forecast'!$B$12</f>
        <v>1168</v>
      </c>
      <c r="F12" s="157">
        <f>C12*'Revenue Forecast'!$B$12</f>
        <v>292</v>
      </c>
      <c r="G12" s="213">
        <f>D12*'Revenue Forecast'!$B$12</f>
        <v>292</v>
      </c>
      <c r="H12" s="157">
        <f t="shared" si="0"/>
        <v>5.615384615384615</v>
      </c>
      <c r="I12" s="214">
        <f t="shared" si="1"/>
        <v>5.615384615384615</v>
      </c>
    </row>
    <row r="13" spans="1:9" ht="14.25">
      <c r="A13" s="155" t="s">
        <v>148</v>
      </c>
      <c r="B13" s="156">
        <f>'Required Services Model'!J22</f>
        <v>0</v>
      </c>
      <c r="C13" s="156">
        <f>'Required Services Model'!J23</f>
        <v>0</v>
      </c>
      <c r="D13" s="156">
        <f>'Required Services Model'!J24</f>
        <v>0</v>
      </c>
      <c r="E13" s="157">
        <f>B13*'Revenue Forecast'!$B$12</f>
        <v>0</v>
      </c>
      <c r="F13" s="157">
        <f>C13*'Revenue Forecast'!$B$12</f>
        <v>0</v>
      </c>
      <c r="G13" s="213">
        <f>D13*'Revenue Forecast'!$B$12</f>
        <v>0</v>
      </c>
      <c r="H13" s="157">
        <f t="shared" si="0"/>
        <v>0</v>
      </c>
      <c r="I13" s="214">
        <f t="shared" si="1"/>
        <v>0</v>
      </c>
    </row>
    <row r="14" spans="1:9" ht="14.25">
      <c r="A14" s="155" t="s">
        <v>149</v>
      </c>
      <c r="B14" s="156">
        <f>'Required Services Model'!K22</f>
        <v>8</v>
      </c>
      <c r="C14" s="156">
        <f>'Required Services Model'!K23</f>
        <v>2</v>
      </c>
      <c r="D14" s="156">
        <f>'Required Services Model'!K24</f>
        <v>2</v>
      </c>
      <c r="E14" s="157">
        <f>B14*'Revenue Forecast'!$B$12</f>
        <v>2336</v>
      </c>
      <c r="F14" s="157">
        <f>C14*'Revenue Forecast'!$B$12</f>
        <v>584</v>
      </c>
      <c r="G14" s="213">
        <f>D14*'Revenue Forecast'!$B$12</f>
        <v>584</v>
      </c>
      <c r="H14" s="157">
        <f t="shared" si="0"/>
        <v>11.23076923076923</v>
      </c>
      <c r="I14" s="214">
        <f t="shared" si="1"/>
        <v>11.23076923076923</v>
      </c>
    </row>
    <row r="15" spans="1:9" ht="14.25">
      <c r="A15" s="155" t="s">
        <v>150</v>
      </c>
      <c r="B15" s="156">
        <f>'Required Services Model'!L22</f>
        <v>0</v>
      </c>
      <c r="C15" s="156">
        <f>'Required Services Model'!L23</f>
        <v>0</v>
      </c>
      <c r="D15" s="156">
        <f>'Required Services Model'!L24</f>
        <v>0</v>
      </c>
      <c r="E15" s="157">
        <f>B15*'Revenue Forecast'!$B$12</f>
        <v>0</v>
      </c>
      <c r="F15" s="157">
        <f>C15*'Revenue Forecast'!$B$12</f>
        <v>0</v>
      </c>
      <c r="G15" s="213">
        <f>D15*'Revenue Forecast'!$B$12</f>
        <v>0</v>
      </c>
      <c r="H15" s="157">
        <f t="shared" si="0"/>
        <v>0</v>
      </c>
      <c r="I15" s="214">
        <f t="shared" si="1"/>
        <v>0</v>
      </c>
    </row>
    <row r="16" spans="1:9" ht="14.25">
      <c r="A16" s="155" t="s">
        <v>151</v>
      </c>
      <c r="B16" s="156">
        <f>'Required Services Model'!M22</f>
        <v>0</v>
      </c>
      <c r="C16" s="156">
        <f>'Required Services Model'!M23</f>
        <v>0</v>
      </c>
      <c r="D16" s="156">
        <f>'Required Services Model'!M24</f>
        <v>0</v>
      </c>
      <c r="E16" s="157">
        <f>B16*'Revenue Forecast'!$B$12</f>
        <v>0</v>
      </c>
      <c r="F16" s="157">
        <f>C16*'Revenue Forecast'!$B$12</f>
        <v>0</v>
      </c>
      <c r="G16" s="213">
        <f>D16*'Revenue Forecast'!$B$12</f>
        <v>0</v>
      </c>
      <c r="H16" s="157">
        <f t="shared" si="0"/>
        <v>0</v>
      </c>
      <c r="I16" s="214">
        <f t="shared" si="1"/>
        <v>0</v>
      </c>
    </row>
    <row r="17" spans="1:9" ht="14.25">
      <c r="A17" s="155" t="s">
        <v>152</v>
      </c>
      <c r="B17" s="156">
        <f>'Required Services Model'!N22</f>
        <v>8</v>
      </c>
      <c r="C17" s="156">
        <f>'Required Services Model'!N23</f>
        <v>8</v>
      </c>
      <c r="D17" s="156">
        <f>'Required Services Model'!N24</f>
        <v>2</v>
      </c>
      <c r="E17" s="157">
        <f>B17*'Revenue Forecast'!$B$12</f>
        <v>2336</v>
      </c>
      <c r="F17" s="157">
        <f>C17*'Revenue Forecast'!$B$12</f>
        <v>2336</v>
      </c>
      <c r="G17" s="213">
        <f>D17*'Revenue Forecast'!$B$12</f>
        <v>584</v>
      </c>
      <c r="H17" s="157">
        <f t="shared" si="0"/>
        <v>44.92307692307692</v>
      </c>
      <c r="I17" s="214">
        <f t="shared" si="1"/>
        <v>11.23076923076923</v>
      </c>
    </row>
    <row r="18" spans="1:9" ht="14.25">
      <c r="A18" s="155" t="s">
        <v>153</v>
      </c>
      <c r="B18" s="156">
        <f>'Required Services Model'!O22</f>
        <v>20</v>
      </c>
      <c r="C18" s="156">
        <f>'Required Services Model'!O23</f>
        <v>5</v>
      </c>
      <c r="D18" s="156">
        <f>'Required Services Model'!O24</f>
        <v>5</v>
      </c>
      <c r="E18" s="157">
        <f>B18*'Revenue Forecast'!$B$12</f>
        <v>5840</v>
      </c>
      <c r="F18" s="157">
        <f>C18*'Revenue Forecast'!$B$12</f>
        <v>1460</v>
      </c>
      <c r="G18" s="213">
        <f>D18*'Revenue Forecast'!$B$12</f>
        <v>1460</v>
      </c>
      <c r="H18" s="157">
        <f t="shared" si="0"/>
        <v>28.076923076923077</v>
      </c>
      <c r="I18" s="214">
        <f t="shared" si="1"/>
        <v>28.076923076923077</v>
      </c>
    </row>
    <row r="19" spans="1:9" ht="14.25">
      <c r="A19" s="216" t="s">
        <v>126</v>
      </c>
      <c r="B19" s="156">
        <f>'Billable Service Model'!D22</f>
        <v>62</v>
      </c>
      <c r="C19" s="156">
        <f>'Billable Service Model'!D24</f>
        <v>9</v>
      </c>
      <c r="D19" s="156">
        <f>'Billable Service Model'!D25</f>
        <v>7</v>
      </c>
      <c r="E19" s="157">
        <f>B19*'Revenue Forecast'!$B$12</f>
        <v>18104</v>
      </c>
      <c r="F19" s="157">
        <f>C19*'Revenue Forecast'!$B$12</f>
        <v>2628</v>
      </c>
      <c r="G19" s="213">
        <f>D19*'Revenue Forecast'!$B$12</f>
        <v>2044</v>
      </c>
      <c r="H19" s="157">
        <f t="shared" si="0"/>
        <v>50.53846153846154</v>
      </c>
      <c r="I19" s="214">
        <f t="shared" si="1"/>
        <v>39.30769230769231</v>
      </c>
    </row>
    <row r="20" spans="1:9" ht="14.25">
      <c r="A20" s="217"/>
      <c r="B20" s="218"/>
      <c r="C20" s="218"/>
      <c r="D20" s="219"/>
      <c r="E20" s="219"/>
      <c r="F20" s="219"/>
      <c r="G20" s="220"/>
      <c r="H20" s="219"/>
      <c r="I20" s="221"/>
    </row>
    <row r="21" spans="1:9" ht="14.25">
      <c r="A21" s="222" t="s">
        <v>70</v>
      </c>
      <c r="B21" s="223">
        <f aca="true" t="shared" si="2" ref="B21:I21">SUM(B5:B20)</f>
        <v>750</v>
      </c>
      <c r="C21" s="223">
        <f t="shared" si="2"/>
        <v>137.33333333333331</v>
      </c>
      <c r="D21" s="223">
        <f t="shared" si="2"/>
        <v>179</v>
      </c>
      <c r="E21" s="223">
        <f t="shared" si="2"/>
        <v>219000</v>
      </c>
      <c r="F21" s="223">
        <f t="shared" si="2"/>
        <v>15047.733333333334</v>
      </c>
      <c r="G21" s="224">
        <f t="shared" si="2"/>
        <v>14688</v>
      </c>
      <c r="H21" s="223">
        <f t="shared" si="2"/>
        <v>289.37948717948717</v>
      </c>
      <c r="I21" s="225">
        <f t="shared" si="2"/>
        <v>282.46153846153845</v>
      </c>
    </row>
    <row r="24" spans="1:14" ht="25.5" customHeight="1">
      <c r="A24" s="273" t="s">
        <v>179</v>
      </c>
      <c r="B24" s="273"/>
      <c r="C24" s="273"/>
      <c r="D24" s="273"/>
      <c r="K24" s="123"/>
      <c r="L24" s="123"/>
      <c r="M24" s="123"/>
      <c r="N24" s="226"/>
    </row>
    <row r="25" spans="1:4" ht="46.5" customHeight="1">
      <c r="A25" s="227"/>
      <c r="B25" s="228" t="s">
        <v>180</v>
      </c>
      <c r="C25" s="228" t="s">
        <v>181</v>
      </c>
      <c r="D25" s="229" t="s">
        <v>182</v>
      </c>
    </row>
    <row r="26" spans="1:4" ht="14.25">
      <c r="A26" s="139" t="s">
        <v>183</v>
      </c>
      <c r="B26" s="230">
        <v>210</v>
      </c>
      <c r="C26" s="231">
        <f>B26/$B$29</f>
        <v>0.10096153846153846</v>
      </c>
      <c r="D26" s="232">
        <f>C26*'Revenue Forecast'!$B$6*2080</f>
        <v>1575</v>
      </c>
    </row>
    <row r="27" spans="1:4" ht="14.25">
      <c r="A27" s="139" t="s">
        <v>184</v>
      </c>
      <c r="B27" s="230">
        <f>2080-(B26+B28)</f>
        <v>470</v>
      </c>
      <c r="C27" s="231">
        <f>B27/$B$29</f>
        <v>0.22596153846153846</v>
      </c>
      <c r="D27" s="232">
        <f>C27*'Revenue Forecast'!$B$6*2080</f>
        <v>3525</v>
      </c>
    </row>
    <row r="28" spans="1:4" ht="14.25">
      <c r="A28" s="233" t="s">
        <v>185</v>
      </c>
      <c r="B28" s="234">
        <v>1400</v>
      </c>
      <c r="C28" s="235">
        <f>B28/$B$29</f>
        <v>0.6730769230769231</v>
      </c>
      <c r="D28" s="236">
        <f>C28*'Revenue Forecast'!$B$6*2080</f>
        <v>10500</v>
      </c>
    </row>
    <row r="29" spans="1:4" ht="14.25">
      <c r="A29" s="139" t="s">
        <v>186</v>
      </c>
      <c r="B29" s="237">
        <f>SUM(B26:B28)</f>
        <v>2080</v>
      </c>
      <c r="C29" s="231">
        <f>SUM(C26:C28)</f>
        <v>1</v>
      </c>
      <c r="D29" s="232">
        <f>SUM(D26:D28)</f>
        <v>15600</v>
      </c>
    </row>
    <row r="30" spans="1:4" ht="14.25">
      <c r="A30" s="238" t="s">
        <v>187</v>
      </c>
      <c r="B30" s="239">
        <f>B28/'Revenue Forecast'!$B$15</f>
        <v>26.923076923076923</v>
      </c>
      <c r="C30" s="240"/>
      <c r="D30" s="241">
        <f>D28/'Revenue Forecast'!$B$15</f>
        <v>201.92307692307693</v>
      </c>
    </row>
    <row r="31" spans="1:4" ht="14.25">
      <c r="A31" s="120"/>
      <c r="B31" s="123"/>
      <c r="C31" s="123"/>
      <c r="D31" s="123"/>
    </row>
    <row r="32" spans="1:4" ht="15">
      <c r="A32" s="242" t="s">
        <v>188</v>
      </c>
      <c r="B32" s="120"/>
      <c r="C32" s="120"/>
      <c r="D32" s="243">
        <f>I21</f>
        <v>282.46153846153845</v>
      </c>
    </row>
    <row r="33" spans="1:4" ht="15">
      <c r="A33" s="244" t="s">
        <v>189</v>
      </c>
      <c r="B33" s="245"/>
      <c r="C33" s="120"/>
      <c r="D33" s="243">
        <f>D30-D32</f>
        <v>-80.53846153846152</v>
      </c>
    </row>
    <row r="34" spans="1:5" ht="14.25">
      <c r="A34" s="120"/>
      <c r="B34" s="120"/>
      <c r="C34" s="120"/>
      <c r="D34" s="120"/>
      <c r="E34" s="120"/>
    </row>
  </sheetData>
  <sheetProtection selectLockedCells="1" selectUnlockedCells="1"/>
  <mergeCells count="2">
    <mergeCell ref="A1:I1"/>
    <mergeCell ref="A24:D24"/>
  </mergeCells>
  <conditionalFormatting sqref="D33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mcilvaine</dc:creator>
  <cp:keywords/>
  <dc:description/>
  <cp:lastModifiedBy>Cooper, Jolene</cp:lastModifiedBy>
  <cp:lastPrinted>2017-11-04T03:42:40Z</cp:lastPrinted>
  <dcterms:created xsi:type="dcterms:W3CDTF">2017-12-19T19:42:15Z</dcterms:created>
  <dcterms:modified xsi:type="dcterms:W3CDTF">2017-12-20T16:51:43Z</dcterms:modified>
  <cp:category/>
  <cp:version/>
  <cp:contentType/>
  <cp:contentStatus/>
</cp:coreProperties>
</file>